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550" activeTab="3"/>
  </bookViews>
  <sheets>
    <sheet name="Orçamento" sheetId="1" r:id="rId1"/>
    <sheet name="MEMORIAL DE CALCULO" sheetId="2" r:id="rId2"/>
    <sheet name="Comp. BDI." sheetId="3" r:id="rId3"/>
    <sheet name="Cronograma" sheetId="4" r:id="rId4"/>
    <sheet name="Composições" sheetId="5" r:id="rId5"/>
    <sheet name="ORÇAMENTO_REFORMA_PINTURA" sheetId="6" r:id="rId6"/>
    <sheet name="Plan1" sheetId="7" r:id="rId7"/>
    <sheet name="Comp. BDI" sheetId="8" r:id="rId8"/>
  </sheets>
  <definedNames>
    <definedName name="_xlnm.Print_Area" localSheetId="7">'Comp. BDI'!$A$1:$G$52</definedName>
    <definedName name="_xlnm.Print_Area" localSheetId="2">'Comp. BDI.'!$A$1:$G$47</definedName>
    <definedName name="_xlnm.Print_Area" localSheetId="4">'Composições'!$A$1:$H$1055</definedName>
    <definedName name="_xlnm.Print_Area" localSheetId="3">'Cronograma'!$A$1:$F$32</definedName>
    <definedName name="_xlnm.Print_Area" localSheetId="1">'MEMORIAL DE CALCULO'!$A$1:$H$53</definedName>
    <definedName name="_xlnm.Print_Area" localSheetId="0">'Orçamento'!$A$1:$H$55</definedName>
    <definedName name="_xlnm.Print_Titles" localSheetId="4">'Composições'!$1:$8</definedName>
    <definedName name="_xlnm.Print_Titles" localSheetId="1">'MEMORIAL DE CALCULO'!$2:$7</definedName>
    <definedName name="_xlnm.Print_Titles" localSheetId="0">'Orçamento'!$2:$7</definedName>
  </definedNames>
  <calcPr fullCalcOnLoad="1"/>
</workbook>
</file>

<file path=xl/sharedStrings.xml><?xml version="1.0" encoding="utf-8"?>
<sst xmlns="http://schemas.openxmlformats.org/spreadsheetml/2006/main" count="649" uniqueCount="293">
  <si>
    <t>h</t>
  </si>
  <si>
    <t>m²</t>
  </si>
  <si>
    <t>m</t>
  </si>
  <si>
    <t>l</t>
  </si>
  <si>
    <t xml:space="preserve">ARTUR E ATHUS COMPANY TOURS LTDA </t>
  </si>
  <si>
    <t>CNPJ: 02.812.927/0001-51</t>
  </si>
  <si>
    <t>Rua: José Magalhães, 484-Centro</t>
  </si>
  <si>
    <t>Boa Vista - Roraima</t>
  </si>
  <si>
    <t>E-mail: aeacompanytours@gmail.com.br</t>
  </si>
  <si>
    <t>CONTRATANTE: JUSTIÇA FEDERAL/SEÇÃO JUDICIÁRIA DE RORAIMA</t>
  </si>
  <si>
    <t>PLANILHA ORÇAMENTÁRIA</t>
  </si>
  <si>
    <t>ITEM</t>
  </si>
  <si>
    <t>DESCRIÇÃO</t>
  </si>
  <si>
    <t>UNID.</t>
  </si>
  <si>
    <t>QUANT.</t>
  </si>
  <si>
    <t>01</t>
  </si>
  <si>
    <t xml:space="preserve">SERVIÇOS PRELIMINARES E ADMINISTRAÇÃO </t>
  </si>
  <si>
    <t>01.01</t>
  </si>
  <si>
    <t>01.02</t>
  </si>
  <si>
    <t>INSTALAÇÃO DO CANTEIRO DE OBRAS</t>
  </si>
  <si>
    <t>01.02.01</t>
  </si>
  <si>
    <t>74209/001</t>
  </si>
  <si>
    <t>01.02.02</t>
  </si>
  <si>
    <t>74210/001</t>
  </si>
  <si>
    <t xml:space="preserve">un </t>
  </si>
  <si>
    <t>02</t>
  </si>
  <si>
    <t>SUB-SOLO</t>
  </si>
  <si>
    <t>02.03</t>
  </si>
  <si>
    <t>02.04</t>
  </si>
  <si>
    <t>02.05</t>
  </si>
  <si>
    <t>PINTURA</t>
  </si>
  <si>
    <t>Raspagem e lixamento de paredes em pintura látex acrílica</t>
  </si>
  <si>
    <t>73955/002</t>
  </si>
  <si>
    <t>Emassamento de paredes para ambiente interno/externo, 02 demãos</t>
  </si>
  <si>
    <t>74233/001 +  73954/001</t>
  </si>
  <si>
    <t>74245/001</t>
  </si>
  <si>
    <t>74065/002</t>
  </si>
  <si>
    <t>02.06</t>
  </si>
  <si>
    <t>02.07</t>
  </si>
  <si>
    <t>02.08</t>
  </si>
  <si>
    <t>DIVERSOS</t>
  </si>
  <si>
    <t>03</t>
  </si>
  <si>
    <t>03.01</t>
  </si>
  <si>
    <t>03.02</t>
  </si>
  <si>
    <t>Raspagem e lixamento de pintura látex acrílica</t>
  </si>
  <si>
    <t>73954/001</t>
  </si>
  <si>
    <t>04</t>
  </si>
  <si>
    <t>04.01</t>
  </si>
  <si>
    <t>04.02</t>
  </si>
  <si>
    <t>04.03</t>
  </si>
  <si>
    <t>04.04</t>
  </si>
  <si>
    <t>04.05</t>
  </si>
  <si>
    <t>04.06</t>
  </si>
  <si>
    <t>05.01</t>
  </si>
  <si>
    <t>05.02</t>
  </si>
  <si>
    <t>05.03</t>
  </si>
  <si>
    <t>74145/001</t>
  </si>
  <si>
    <t>73954/002</t>
  </si>
  <si>
    <t>Raspagem e lixamento de gradil frontal</t>
  </si>
  <si>
    <t>Raspagem e lixamento de gradil de janelas</t>
  </si>
  <si>
    <t>07.01</t>
  </si>
  <si>
    <t>CUSTO TOTAL DOS SERVIÇOS =</t>
  </si>
  <si>
    <t>VALOR TOTAL DA OBRA =</t>
  </si>
  <si>
    <t>DISCRIMINAÇÃO</t>
  </si>
  <si>
    <t>PORC. DO</t>
  </si>
  <si>
    <t>VALOR  DO</t>
  </si>
  <si>
    <t>TOTAL(%)</t>
  </si>
  <si>
    <t>T  O T A I S - R$</t>
  </si>
  <si>
    <t>L I B E R A Ç Õ E S - R$</t>
  </si>
  <si>
    <t xml:space="preserve">        TOTAL  DO  ITEM</t>
  </si>
  <si>
    <t xml:space="preserve">       A C U M U L A D A</t>
  </si>
  <si>
    <t>P O R C E N T A G E M</t>
  </si>
  <si>
    <t xml:space="preserve">         S  I  M  P  L  E  S</t>
  </si>
  <si>
    <t>CRONOGRAMA FÍSICO-FINANCEIRO</t>
  </si>
  <si>
    <t>Administração Central (AC)</t>
  </si>
  <si>
    <t>TAXA</t>
  </si>
  <si>
    <t>PIS (T)</t>
  </si>
  <si>
    <t>ISS (T)</t>
  </si>
  <si>
    <t>CONFINS (T)</t>
  </si>
  <si>
    <t>CÁLCULO DO BDI</t>
  </si>
  <si>
    <t>Sendo:</t>
  </si>
  <si>
    <t>L - Taxa referente ao Lucro;</t>
  </si>
  <si>
    <t>DF - Taxa referente a Despesas Financeiras;</t>
  </si>
  <si>
    <t>T - Taxa referente a incidência de tributos;</t>
  </si>
  <si>
    <t>Despesas Financeiras (DF)</t>
  </si>
  <si>
    <t>(1 - T)</t>
  </si>
  <si>
    <t>EQUAÇÃO DO BDI</t>
  </si>
  <si>
    <t xml:space="preserve">Item </t>
  </si>
  <si>
    <t>A equação do BDI é composta da seguinte fórmula:</t>
  </si>
  <si>
    <t>AC - Taxa referente ao somatório da Administração Central, que inclui Seguro/imprevistos (R);</t>
  </si>
  <si>
    <t>BDI=</t>
  </si>
  <si>
    <t xml:space="preserve">Seguro/Imprevistos (R) </t>
  </si>
  <si>
    <t>Lucro (L)</t>
  </si>
  <si>
    <t>und.</t>
  </si>
  <si>
    <t>TÉRREO</t>
  </si>
  <si>
    <t>(1 + AC) (1 + R) (1 + DF) (1 + L)</t>
  </si>
  <si>
    <t>R - Seguro/Imprevistos</t>
  </si>
  <si>
    <t>Obs:</t>
  </si>
  <si>
    <t xml:space="preserve">  BDI = </t>
  </si>
  <si>
    <t xml:space="preserve">CÁLCULO DO BDI - Benefício e Despesas Indiretas </t>
  </si>
  <si>
    <r>
      <t>A metodologia utilizada é de praxe e comum em todas as apresentações do cálculo do BDI. E esta segue a recomentação do TCU, conforme</t>
    </r>
    <r>
      <rPr>
        <b/>
        <sz val="10"/>
        <rFont val="Arial"/>
        <family val="2"/>
      </rPr>
      <t xml:space="preserve"> acórdâo 325/2007 - TCU</t>
    </r>
    <r>
      <rPr>
        <sz val="10"/>
        <rFont val="Arial"/>
        <family val="2"/>
      </rPr>
      <t>, onde o mesmo cita fórmulas para cálculo  e os percentuais (%) máximo e miníno aceito para composição do BDI. Nesta  composção a fórmula foi extraída do acórdão e os percentuais estão devidamente demonstrados analiticamente e dentro dos limites estabelecidos pelo TCU (acórdão 325/2007 - Plenário - TCU)</t>
    </r>
  </si>
  <si>
    <t xml:space="preserve">Pintura c/tinta acrílica semi-brilho, na cor Branco Neve - Suvinil ou similar, em paredes internas, 03 demãos, inclusive aplicação de selador </t>
  </si>
  <si>
    <t xml:space="preserve">Pintura c/tinta 100% acrílica elástica para fachada, Suvinil ou similar, em paredes externas, 03 demãos, inclusive aplicação de selador </t>
  </si>
  <si>
    <t>Pintura com tinta esmalte sintético acetinado, Suvinil ou similar, em grade metálica, 03 demãos, inclusive aplicação de zarcão</t>
  </si>
  <si>
    <t>Pintura com tinta esmalte sintético, Suvinil ou similar, em estrutura metálica da cobertura, 03 demãos, inclusive aplicação de zarcão</t>
  </si>
  <si>
    <t>Pintura com resina acrílica, Suvinil ou similar, em alvenaria de tijolo cerãmico aparente, 03 demãos</t>
  </si>
  <si>
    <t>74064/002  +  73924/002</t>
  </si>
  <si>
    <t>02.09</t>
  </si>
  <si>
    <t xml:space="preserve">Emassamento c/massa acrílica - Suvinil ou similar, em paredes internas e externa, 02 demãos </t>
  </si>
  <si>
    <t xml:space="preserve">Pintura c/tinta acrílica semi-brilho, na cor Palha - Suvinil ou similar, em paredes internas, 03 demãos, inclusive aplicação de selador </t>
  </si>
  <si>
    <t xml:space="preserve">Pintura c/tinta acrílica elástica fosca, na cor Branco Neve, Suvinil Fachada ou similar, em paredes externas, 03 demãos, inclusive aplicação de selador </t>
  </si>
  <si>
    <t>Pintura com tinta esmalte sintético acetinado, Suvinil ou similar, em esquadrias de madeira, 03 demãos, inclusive aplicação de selador</t>
  </si>
  <si>
    <t>CONSTRUÇÃO DE GABINETE P/ MAGISTRADO (03 UNID.) C/LAVABO E AMPLIAÇÃO DA SEÇÃO DE INFORMÁTICA E DE MODERNIZAÇÃO DO TÉRREO - Arquiteta Gisele</t>
  </si>
  <si>
    <t>74134/002</t>
  </si>
  <si>
    <t>6067</t>
  </si>
  <si>
    <t>73872/001</t>
  </si>
  <si>
    <t>ITEM + BDI (R$)</t>
  </si>
  <si>
    <t>DESCRIÇÃO DOS SERVIÇOS</t>
  </si>
  <si>
    <t>VALOR UN.</t>
  </si>
  <si>
    <t>PAVIMENTO SUPERIOR</t>
  </si>
  <si>
    <t>02.11</t>
  </si>
  <si>
    <t>Pintura de Piso cimentado, na cor cinza, 02 demãos</t>
  </si>
  <si>
    <t>Pintura de Piso cimentado, na cor cinza, sala sub-estação e nobrak,  02 demãos</t>
  </si>
  <si>
    <t>Pintura de Gradil em esmalte sintético na cor preto, 02 demãos, incluindo 01 demão de fundo anti-corrosivo</t>
  </si>
  <si>
    <t>Pintura decorativa na cor azul mineral (E-329-suvinil ou similar) - circulações em geral, 03 demãos</t>
  </si>
  <si>
    <t>Pintura com tinta látex acrílico semi-brilho em paredes internas, 03 demãos, na cor Areia</t>
  </si>
  <si>
    <t>Pintura com tinta látex acrílico em paredes e tetos (gesso e laje) internas, 03 demãos, na cor Branco Neve</t>
  </si>
  <si>
    <t>Pintura decorativa na cor azul escuridão (R-151-suvinil ou similar) - circulações geral, 03 demãos</t>
  </si>
  <si>
    <t>Pintura de piso com tinta acrílica na cor cinza, 02 demãos</t>
  </si>
  <si>
    <t>Pintura com tinta látex acrílico em tetos internos (laje), 03 demãos, na cor Branco Neve</t>
  </si>
  <si>
    <t>Pintura de piso para sinalização viária (trânsito), 01 demão</t>
  </si>
  <si>
    <t>Pintura de Muro interno na cor branco neve, 02 demãos</t>
  </si>
  <si>
    <t>Pintura de gradil frontal em esmalte sintético na cor cinza, 02 demãos, incluindo aplicação de fundo anti-corrosivo zarcão (01 demão)</t>
  </si>
  <si>
    <t>Pintura de gradil das janelas em esmalte sintético na cor cinza, 02 demãos, incluindo aplicação de fundo anti-corrosivo zarcão (01 demão)</t>
  </si>
  <si>
    <t>Pintura da haste porta bandeira, esmalte sintético na cor branco, 02 demãos, incluindo aplicação de fundo anti-corrosivo zarcão (01 demão)</t>
  </si>
  <si>
    <t>Pintura Acrílica em paredes na cor areia (Guarita), 02 demãos</t>
  </si>
  <si>
    <t>Pintura Acrílica em paredes na cor branco neve (Platibandas), 02 demãos</t>
  </si>
  <si>
    <t>Pintura Acrílica em paredes na cor azul mineral, E-329 Suvinil ou similar (áreas variadas), 03 demãos</t>
  </si>
  <si>
    <t>Pintura Acrílica em paredes na cor azul escuridão, R-151-suvinil ou similar (áreas variadas), 03 demãos</t>
  </si>
  <si>
    <t>Pintura esmalte sintético da estrutura metálica da "cancela", nas cores preto e amarelo, 02 demãos, incluindo fundo anti-corrosivo zarcão (01 demão)</t>
  </si>
  <si>
    <t>Pintura de Parede com tinta látex acrílico semi-brilho em paredes internas, 02 demãos, na cor Areia</t>
  </si>
  <si>
    <t>74233/001</t>
  </si>
  <si>
    <t>Fundo Selador acrílico, 01 demão</t>
  </si>
  <si>
    <t>Demarcação com tinta acrílica (02 demãos) para pisos de faixas de estacionamento, na cor amarelo</t>
  </si>
  <si>
    <t>CONSTRUÇÃO DE GARAGEM FECHADA P/ VEÍCULOS OFICIAIS E MAGISTRADOS  - Aquiteta Gisele</t>
  </si>
  <si>
    <t>MEMÓRIA DE CÁLCULO</t>
  </si>
  <si>
    <t>Pintura Acrílica em paredes na cor branco neve (interna subestação e sala do nobreak, teto e parede), 02 demãos</t>
  </si>
  <si>
    <r>
      <t xml:space="preserve">CONTRATANTE: JUSTIÇA FEDERAL/SEÇÃO JUDICIÁRIA DE RORAIMA                                                                  </t>
    </r>
    <r>
      <rPr>
        <b/>
        <sz val="12"/>
        <color indexed="8"/>
        <rFont val="Times New Roman"/>
        <family val="1"/>
      </rPr>
      <t>Projetos da A&amp;A</t>
    </r>
  </si>
  <si>
    <t>Placa de obra em chapa de aço galvanizado (2,00x3,00m)</t>
  </si>
  <si>
    <t>02.12</t>
  </si>
  <si>
    <t xml:space="preserve"> CÓD. SINAPI AGO/2011</t>
  </si>
  <si>
    <t>(1+0,045)(1+0,018)(1+0,035)(1+0,075)</t>
  </si>
  <si>
    <t xml:space="preserve">(1 - 0,0065 - 0,00 - 0,03)  </t>
  </si>
  <si>
    <r>
      <t xml:space="preserve">OBJETO: PINTURA EXETRNA DA SEDE DA SEÇÃO JUDICIÁRIA DE RORAIMA                                                                                           </t>
    </r>
    <r>
      <rPr>
        <b/>
        <sz val="12"/>
        <color indexed="8"/>
        <rFont val="Times New Roman"/>
        <family val="1"/>
      </rPr>
      <t>Projetos da Arqª. Gisele</t>
    </r>
  </si>
  <si>
    <t>Barracão para Depósito em Tábuas de madeira, cobertura em fibrocimento 4mm, inc. piso em argamassa</t>
  </si>
  <si>
    <t xml:space="preserve">Regularização da obra junto ao CREA/CAU </t>
  </si>
  <si>
    <t>19,35x6,4+22,10x2,50+0,84x2,50+2,15x1,15x2+2,80x9,12+4,98x2,80+2,10x1,90+2,33x3+3,0x2,28+7,90x1,15+2,10x4,40x7,15x5,90+10,50x1,80</t>
  </si>
  <si>
    <t>Pintura de Gradil em esmalte sintético na cor azul, 02 demãos, incluindo 01 demão de fundo anti-corrosivo</t>
  </si>
  <si>
    <t>01.03</t>
  </si>
  <si>
    <t>3x3</t>
  </si>
  <si>
    <t>2,00x3,00</t>
  </si>
  <si>
    <t>Tx</t>
  </si>
  <si>
    <t>18,50x1,86x2</t>
  </si>
  <si>
    <t>(12,38+11,38+8,58)x1,88+2,35*3,18+0,94*3,15</t>
  </si>
  <si>
    <t xml:space="preserve">Pintura c/tinta latex PVA fosco, na cor Branco Neve - Suvinil ou similar, em fundo de laje, 02 demãos  </t>
  </si>
  <si>
    <t>Emassamento acrílico de paredes para ambiente interno/externo, 02 demãos</t>
  </si>
  <si>
    <t>19,35x6,40</t>
  </si>
  <si>
    <t>22,10x2,50+0,84x2,50+2,15x1,15x2+2,80x9,12+4,98x2,80+2,10x1,90+2,33x3+3,0x2,28+2,10x4,40x7,15x5,90+10,50x1,80</t>
  </si>
  <si>
    <t>VALOR TOTAL R$</t>
  </si>
  <si>
    <t>VALOR UN. R$</t>
  </si>
  <si>
    <t>01.02.03</t>
  </si>
  <si>
    <t>VALOR PARCIAL</t>
  </si>
  <si>
    <t>VALOR PARCIAL R$</t>
  </si>
  <si>
    <t>(4,85*1,55)*2</t>
  </si>
  <si>
    <t>Pintura de parede externa com tinta látex acrílico semi-brilho, 02 demãos, na branco neve</t>
  </si>
  <si>
    <t>Pintura de Parede externa com tinta látex acrílico semi-brilho, 02 demãos, na cor azul Mineral tinta suvinil ou simila E-329</t>
  </si>
  <si>
    <t>6*3,10</t>
  </si>
  <si>
    <t>02.01</t>
  </si>
  <si>
    <t>02.02</t>
  </si>
  <si>
    <t>PINTURA DA FACHADA LATERAL ESQUERDA</t>
  </si>
  <si>
    <t>05</t>
  </si>
  <si>
    <t>GARAGEM MAGISTRADO/VEICULO OFICIAL</t>
  </si>
  <si>
    <t>55,30+57,38-3,88-5,90-5,90-2,58</t>
  </si>
  <si>
    <t xml:space="preserve">Pintura c/ tinta latex PVA fosco, na cor Branco Neve - Suvinil ou similar, em fundo de laje, 02 demãos  </t>
  </si>
  <si>
    <t>Pintura de portão em esmalte sintético na cor azul, 02 demãos, incluindo 01 demão de fundo anti-corrosivo</t>
  </si>
  <si>
    <t>13,61*2</t>
  </si>
  <si>
    <t>Limpeza e lixamento de paredes em pintura látex acrílica</t>
  </si>
  <si>
    <t xml:space="preserve">Fundo Selador acrílico, 01 demão </t>
  </si>
  <si>
    <t>Pintura de parede com tinta látex acrílico no teto, 02 demãos, na cor Branco Neve</t>
  </si>
  <si>
    <t>PINTURA DOS FUNDOS</t>
  </si>
  <si>
    <t>Limpeza, lixamento de paredes em pintura látex acrílica</t>
  </si>
  <si>
    <t>GUARITA</t>
  </si>
  <si>
    <t>06</t>
  </si>
  <si>
    <t>07</t>
  </si>
  <si>
    <t>12,81+9,45+13,25*2+13,12+13,12+31,2+20,21+20,21+20,21+20,21+20,21+0,31*45</t>
  </si>
  <si>
    <t>Emassamento acrílico de platibanda em alvenaria externo, 02 demãos</t>
  </si>
  <si>
    <t>(22,50*2+18,50*2)*1,50</t>
  </si>
  <si>
    <t>(5,03+4,90+4,90+5,03+5,37+5,42+5,37+4,90+5,03)*1,27+(22,50*2+18,50*2)*1,50</t>
  </si>
  <si>
    <t>(5,03+4,90+4,90+5,03+5,37+5,42+5,37+4,90+5,03)*0,50</t>
  </si>
  <si>
    <t xml:space="preserve">Pintura c/tinta 100% acrílica elástica em pilares cor azul escuridão ER151, Suvinil ou similar, em paredes externas, 02 demãos, inclusive aplicação de selador </t>
  </si>
  <si>
    <t xml:space="preserve">Pintura c/tinta 100% acrílica elástica para fachada, Suvinil ou similar, em paredes externas, 02 demãos, inclusive aplicação de selador </t>
  </si>
  <si>
    <t xml:space="preserve">Pintura c/tinta 100% acrílica elástica para platibanda, Suvinil ou similar, em paredes externas, 02 demãos, inclusive aplicação de selador </t>
  </si>
  <si>
    <t>Pintura com resina acrílica, Suvinil ou similar, em alvenaria de tijolo cerãmico aparente, 02 demãos</t>
  </si>
  <si>
    <t>Pintura com tinta esmalte sintético acetinado, Suvinil ou similar, em escada metálica, 02 demãos, com aplicação de fundo preparador para galvanizado</t>
  </si>
  <si>
    <t>Pintura com tinta esmalte sintético acetinado, Suvinil ou similar, em corrimão metálico, 02 demãos, com aplicação de fundo preparador para galvanizado</t>
  </si>
  <si>
    <t xml:space="preserve">Limpeza e lixamento de gradil metálico </t>
  </si>
  <si>
    <t>Demarcação com tinta acrílica (02 demãos) para pisos de faixas de estacionamento, na cor amarelo (Estaciomamento frente)</t>
  </si>
  <si>
    <t>Pintura acrílica para sinalização horizontal em piso cimentado (Demarcação de vaga deficiente)</t>
  </si>
  <si>
    <t>Pintura de Parede externa com tinta látex acrílico semi-brilho em paredes internas, 03 demãos, na cor azul escuridão, tintas  suvinil ou similar E-329</t>
  </si>
  <si>
    <t>Pintura de Parede externa com tinta látex acrílico semi-brilho, 03 demãos, na cor azul Mineral tinta suvinil ou simila E-329</t>
  </si>
  <si>
    <t xml:space="preserve">Regularização da obra junto ao CREA/CAU - Tabela A CREA </t>
  </si>
  <si>
    <t>02.13</t>
  </si>
  <si>
    <t>Pintura de esquadrias de ferro com tinta esmalte fosco, 02 demãos, incluindo fundo anti-corrosivo zarcão (01 demão)</t>
  </si>
  <si>
    <t>Remoção de pintura a oleo/esmalte sobre superficie metálica</t>
  </si>
  <si>
    <t>74133/001</t>
  </si>
  <si>
    <t>PINTURA DA FACHADA PRINCIPAL</t>
  </si>
  <si>
    <t>12,81+9,45+13,25*2+13,12+13,12+31,2+20,21+20,21+20,21+20,21+20,21+0,31*45+99,23+55,23*2,83+11,76</t>
  </si>
  <si>
    <t>(0,86*3,30)*12+3,42*0,90</t>
  </si>
  <si>
    <t>Pintura de portão em esmalte sintético na cor azul existente, 02 demãos, incluindo 01 demão de fundo anti-corrosivo</t>
  </si>
  <si>
    <t>PINTURA DA GUARITA</t>
  </si>
  <si>
    <t xml:space="preserve">Pintura c/tinta 100% acrílica elástica para fachada, Suvinil ou similar, em castelo d'agua, 02 demãos, inclusive aplicação de selador </t>
  </si>
  <si>
    <t xml:space="preserve">CONTRATANTE: JUSTIÇA FEDERAL/SEÇÃO JUDICIÁRIA DE RORAIMA                                                                 </t>
  </si>
  <si>
    <t xml:space="preserve">Lixamento e limpeza de grade de proteção em metalon </t>
  </si>
  <si>
    <t>Pintura de Grade de proteção com tinta esmalte sintética na cor preta, 02 demãos</t>
  </si>
  <si>
    <t>42,00+11,09</t>
  </si>
  <si>
    <t>21,62*1,55+5,36</t>
  </si>
  <si>
    <t xml:space="preserve">OBJETO: CONTRATAÇÃO DE EMPRESA ESPECIALIZADA PARA EXECUÇÃO DOS SERVIÇOS DE PINTURA EXTERNA DO PRÉDIO DA SEDE DA SEÇÃO JUDICIÁRIA DE RORAIMA                                                                                        </t>
  </si>
  <si>
    <t>planilha da reforma</t>
  </si>
  <si>
    <t xml:space="preserve">PINTURA </t>
  </si>
  <si>
    <t>CUSTO DA PINTURA TOTAL DO PREDIO NA REFORMA OCORRIDA</t>
  </si>
  <si>
    <r>
      <t>i</t>
    </r>
    <r>
      <rPr>
        <sz val="7.5"/>
        <color indexed="8"/>
        <rFont val="Verdana"/>
        <family val="2"/>
      </rPr>
      <t xml:space="preserve"> = taxa de administração central</t>
    </r>
  </si>
  <si>
    <r>
      <t>r =</t>
    </r>
    <r>
      <rPr>
        <sz val="7.5"/>
        <color indexed="8"/>
        <rFont val="Verdana"/>
        <family val="2"/>
      </rPr>
      <t xml:space="preserve"> taxa de risco do empreendimento</t>
    </r>
  </si>
  <si>
    <r>
      <t>f =</t>
    </r>
    <r>
      <rPr>
        <sz val="7.5"/>
        <color indexed="8"/>
        <rFont val="Verdana"/>
        <family val="2"/>
      </rPr>
      <t xml:space="preserve"> taxa de custo financeiro do capital de giro</t>
    </r>
  </si>
  <si>
    <r>
      <t>t =</t>
    </r>
    <r>
      <rPr>
        <sz val="7.5"/>
        <color indexed="8"/>
        <rFont val="Verdana"/>
        <family val="2"/>
      </rPr>
      <t xml:space="preserve"> taxa de tributos federais</t>
    </r>
  </si>
  <si>
    <r>
      <t>s =</t>
    </r>
    <r>
      <rPr>
        <sz val="7.5"/>
        <color indexed="8"/>
        <rFont val="Verdana"/>
        <family val="2"/>
      </rPr>
      <t xml:space="preserve"> taxa de tributo municipal - ISS (Imposto Sobre Serviços)</t>
    </r>
  </si>
  <si>
    <r>
      <t>c =</t>
    </r>
    <r>
      <rPr>
        <sz val="7.5"/>
        <color indexed="8"/>
        <rFont val="Verdana"/>
        <family val="2"/>
      </rPr>
      <t xml:space="preserve"> taxa de despesas de comercialização</t>
    </r>
  </si>
  <si>
    <r>
      <t>l =</t>
    </r>
    <r>
      <rPr>
        <sz val="7.5"/>
        <color indexed="8"/>
        <rFont val="Verdana"/>
        <family val="2"/>
      </rPr>
      <t xml:space="preserve"> lucro ou remuneração líquida da empresa</t>
    </r>
  </si>
  <si>
    <t>Legenda</t>
  </si>
  <si>
    <t>BDI (25,67%) =</t>
  </si>
  <si>
    <t>02.10</t>
  </si>
  <si>
    <t>Tabela do CREA/RR</t>
  </si>
  <si>
    <t>taxa</t>
  </si>
  <si>
    <t>73924/001</t>
  </si>
  <si>
    <t>Pintura de Piso cimentado (calçada), na cor cinza, 02 demãos (calçada da frente)</t>
  </si>
  <si>
    <t>73924/002</t>
  </si>
  <si>
    <t xml:space="preserve">Pintura c/tinta acrílica elástica para fachada, Suvinil ou similar, em paredes externas, 02 demãos, inclusive aplicação de selador </t>
  </si>
  <si>
    <t>UN: m²</t>
  </si>
  <si>
    <t>SER.CG: PINTURA ACRÍLICA MANIPULADA SEMI-BRILHO EM PAREDES INTERNA/EXTERNA, DUAS DEMÃOS - TONALIDADE ESCURA, SEM SELADOR</t>
  </si>
  <si>
    <t>MÃO DE OBRA</t>
  </si>
  <si>
    <t>SINAPI</t>
  </si>
  <si>
    <t>UN</t>
  </si>
  <si>
    <t>COEF.</t>
  </si>
  <si>
    <t>CUSTO UNIT.</t>
  </si>
  <si>
    <t>CUSTO TOTAL</t>
  </si>
  <si>
    <t>PINTOR</t>
  </si>
  <si>
    <t>AJUDANTE</t>
  </si>
  <si>
    <t xml:space="preserve">SUB TOTAL </t>
  </si>
  <si>
    <t>TOTAL (A)</t>
  </si>
  <si>
    <t>MATERIAL/SUB-CONTRATADO</t>
  </si>
  <si>
    <t xml:space="preserve">COEF. </t>
  </si>
  <si>
    <t>TINTA ACRÍLICA SEMI-BRILHO MANIPULADA TOM ESCURO</t>
  </si>
  <si>
    <t>LIXA PARA PAREDE OU MADEIRA</t>
  </si>
  <si>
    <t>un</t>
  </si>
  <si>
    <t xml:space="preserve">TOTAL (B) </t>
  </si>
  <si>
    <t xml:space="preserve">CUSTO DIRETO TOTAL </t>
  </si>
  <si>
    <t xml:space="preserve">PREÇO UNITÁRIO TOTAL </t>
  </si>
  <si>
    <t>CÓDIGO: 001.2016/JF</t>
  </si>
  <si>
    <t>COTAÇÃO</t>
  </si>
  <si>
    <t>LEIS SOCIAIS 87,16%</t>
  </si>
  <si>
    <t>BDI 25,67%</t>
  </si>
  <si>
    <t>03.03</t>
  </si>
  <si>
    <t>03.04</t>
  </si>
  <si>
    <t>05.04</t>
  </si>
  <si>
    <t>05.05</t>
  </si>
  <si>
    <t>06.01</t>
  </si>
  <si>
    <t>06.02</t>
  </si>
  <si>
    <t>06.03</t>
  </si>
  <si>
    <t>06.04</t>
  </si>
  <si>
    <t>06.05</t>
  </si>
  <si>
    <t>07.02</t>
  </si>
  <si>
    <t>07.03</t>
  </si>
  <si>
    <t>07.04</t>
  </si>
  <si>
    <t>07.06</t>
  </si>
  <si>
    <t>SER.CG: LIMPEZA E LIXAMENTO DE  GRADI METÁLICO</t>
  </si>
  <si>
    <t>Composição</t>
  </si>
  <si>
    <t>DIAS</t>
  </si>
  <si>
    <t>OBJETO: EXECUÇÃO DE SERVIÇOS DE PINTURA EXTERNA DA JUSTIÇA FEDERAL - SEÇÃO JUDICIÁRIA DE RORAIMA</t>
  </si>
  <si>
    <t xml:space="preserve">Pintura c/ tinta latex acrílica fosco, na cor Branco Neve - Suvinil ou similar, em fundo de laje, 02 demãos  </t>
  </si>
  <si>
    <t xml:space="preserve">Pintura c/tinta latex acrilica fosco, na cor Branco Neve - Suvinil ou similar, em fundo de laje, 02 demãos  </t>
  </si>
  <si>
    <t>ANEXO I</t>
  </si>
  <si>
    <t>ANEXO II</t>
  </si>
  <si>
    <t>ANEXO III</t>
  </si>
  <si>
    <t>ANEXO IV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</si>
</sst>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0"/>
    <numFmt numFmtId="175" formatCode="_(* #,##0.00_);_(* \(#,##0.00\);_(* \-??_);_(@_)"/>
    <numFmt numFmtId="176" formatCode="000"/>
    <numFmt numFmtId="177" formatCode="#,##0.00_ ;\-#,##0.00\ "/>
    <numFmt numFmtId="178" formatCode="0.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#,##0.0000"/>
    <numFmt numFmtId="185" formatCode="0.0000"/>
    <numFmt numFmtId="186" formatCode="0.000"/>
    <numFmt numFmtId="187" formatCode="0.0"/>
    <numFmt numFmtId="188" formatCode="#,##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8"/>
      <name val="Cambria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sz val="7.5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name val="Cambria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b/>
      <sz val="7.5"/>
      <color indexed="8"/>
      <name val="Verdana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mbria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b/>
      <sz val="7.5"/>
      <color theme="1"/>
      <name val="Verdana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410"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50" applyFont="1" applyBorder="1" applyAlignment="1">
      <alignment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2" xfId="0" applyFont="1" applyBorder="1" applyAlignment="1">
      <alignment/>
    </xf>
    <xf numFmtId="0" fontId="71" fillId="13" borderId="13" xfId="0" applyFont="1" applyFill="1" applyBorder="1" applyAlignment="1">
      <alignment vertical="center"/>
    </xf>
    <xf numFmtId="0" fontId="71" fillId="13" borderId="13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justify"/>
    </xf>
    <xf numFmtId="0" fontId="70" fillId="33" borderId="13" xfId="0" applyFont="1" applyFill="1" applyBorder="1" applyAlignment="1">
      <alignment horizontal="center"/>
    </xf>
    <xf numFmtId="4" fontId="70" fillId="33" borderId="13" xfId="0" applyNumberFormat="1" applyFont="1" applyFill="1" applyBorder="1" applyAlignment="1">
      <alignment horizontal="right"/>
    </xf>
    <xf numFmtId="4" fontId="70" fillId="0" borderId="13" xfId="0" applyNumberFormat="1" applyFont="1" applyFill="1" applyBorder="1" applyAlignment="1">
      <alignment horizontal="right"/>
    </xf>
    <xf numFmtId="0" fontId="70" fillId="0" borderId="13" xfId="0" applyFont="1" applyBorder="1" applyAlignment="1">
      <alignment horizontal="center"/>
    </xf>
    <xf numFmtId="4" fontId="70" fillId="0" borderId="13" xfId="0" applyNumberFormat="1" applyFont="1" applyBorder="1" applyAlignment="1">
      <alignment horizontal="right"/>
    </xf>
    <xf numFmtId="171" fontId="5" fillId="0" borderId="13" xfId="55" applyNumberFormat="1" applyFont="1" applyFill="1" applyBorder="1" applyAlignment="1">
      <alignment horizontal="center"/>
    </xf>
    <xf numFmtId="0" fontId="70" fillId="0" borderId="13" xfId="0" applyFont="1" applyBorder="1" applyAlignment="1">
      <alignment horizontal="justify"/>
    </xf>
    <xf numFmtId="0" fontId="5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justify" wrapText="1"/>
    </xf>
    <xf numFmtId="0" fontId="70" fillId="0" borderId="13" xfId="0" applyFont="1" applyBorder="1" applyAlignment="1">
      <alignment/>
    </xf>
    <xf numFmtId="4" fontId="70" fillId="0" borderId="10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4" fontId="70" fillId="33" borderId="13" xfId="0" applyNumberFormat="1" applyFont="1" applyFill="1" applyBorder="1" applyAlignment="1">
      <alignment/>
    </xf>
    <xf numFmtId="4" fontId="70" fillId="0" borderId="13" xfId="0" applyNumberFormat="1" applyFont="1" applyFill="1" applyBorder="1" applyAlignment="1">
      <alignment/>
    </xf>
    <xf numFmtId="4" fontId="70" fillId="0" borderId="13" xfId="0" applyNumberFormat="1" applyFont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37" fillId="34" borderId="14" xfId="50" applyFont="1" applyFill="1" applyBorder="1" applyAlignment="1">
      <alignment horizontal="center" vertical="center"/>
      <protection/>
    </xf>
    <xf numFmtId="0" fontId="37" fillId="0" borderId="15" xfId="50" applyFont="1" applyFill="1" applyBorder="1" applyAlignment="1">
      <alignment vertical="center"/>
      <protection/>
    </xf>
    <xf numFmtId="4" fontId="38" fillId="0" borderId="14" xfId="50" applyNumberFormat="1" applyFont="1" applyBorder="1" applyAlignment="1">
      <alignment vertical="center"/>
      <protection/>
    </xf>
    <xf numFmtId="4" fontId="39" fillId="0" borderId="16" xfId="50" applyNumberFormat="1" applyFont="1" applyFill="1" applyBorder="1" applyAlignment="1">
      <alignment vertical="center"/>
      <protection/>
    </xf>
    <xf numFmtId="4" fontId="40" fillId="0" borderId="15" xfId="50" applyNumberFormat="1" applyFont="1" applyBorder="1" applyAlignment="1">
      <alignment vertical="center"/>
      <protection/>
    </xf>
    <xf numFmtId="4" fontId="40" fillId="0" borderId="17" xfId="50" applyNumberFormat="1" applyFont="1" applyBorder="1" applyAlignment="1">
      <alignment vertical="center"/>
      <protection/>
    </xf>
    <xf numFmtId="4" fontId="40" fillId="0" borderId="14" xfId="50" applyNumberFormat="1" applyFont="1" applyFill="1" applyBorder="1" applyAlignment="1">
      <alignment vertical="center"/>
      <protection/>
    </xf>
    <xf numFmtId="0" fontId="37" fillId="0" borderId="14" xfId="50" applyFont="1" applyFill="1" applyBorder="1" applyAlignment="1">
      <alignment horizontal="right" vertical="center"/>
      <protection/>
    </xf>
    <xf numFmtId="0" fontId="40" fillId="0" borderId="0" xfId="50" applyFont="1" applyAlignment="1">
      <alignment vertical="center"/>
      <protection/>
    </xf>
    <xf numFmtId="0" fontId="37" fillId="0" borderId="18" xfId="50" applyFont="1" applyBorder="1" applyAlignment="1">
      <alignment horizontal="center" vertical="center"/>
      <protection/>
    </xf>
    <xf numFmtId="0" fontId="37" fillId="0" borderId="13" xfId="50" applyFont="1" applyFill="1" applyBorder="1" applyAlignment="1">
      <alignment horizontal="center" vertical="center"/>
      <protection/>
    </xf>
    <xf numFmtId="4" fontId="37" fillId="0" borderId="13" xfId="50" applyNumberFormat="1" applyFont="1" applyBorder="1" applyAlignment="1">
      <alignment vertical="center"/>
      <protection/>
    </xf>
    <xf numFmtId="4" fontId="37" fillId="0" borderId="13" xfId="50" applyNumberFormat="1" applyFont="1" applyFill="1" applyBorder="1" applyAlignment="1">
      <alignment vertical="center"/>
      <protection/>
    </xf>
    <xf numFmtId="4" fontId="37" fillId="0" borderId="19" xfId="50" applyNumberFormat="1" applyFont="1" applyBorder="1" applyAlignment="1">
      <alignment vertical="center"/>
      <protection/>
    </xf>
    <xf numFmtId="0" fontId="37" fillId="0" borderId="20" xfId="50" applyFont="1" applyBorder="1" applyAlignment="1">
      <alignment horizontal="center" vertical="center"/>
      <protection/>
    </xf>
    <xf numFmtId="4" fontId="37" fillId="0" borderId="21" xfId="50" applyNumberFormat="1" applyFont="1" applyBorder="1" applyAlignment="1">
      <alignment vertical="center"/>
      <protection/>
    </xf>
    <xf numFmtId="4" fontId="37" fillId="0" borderId="22" xfId="50" applyNumberFormat="1" applyFont="1" applyFill="1" applyBorder="1" applyAlignment="1">
      <alignment vertical="center"/>
      <protection/>
    </xf>
    <xf numFmtId="4" fontId="37" fillId="0" borderId="23" xfId="50" applyNumberFormat="1" applyFont="1" applyBorder="1" applyAlignment="1">
      <alignment vertical="center"/>
      <protection/>
    </xf>
    <xf numFmtId="4" fontId="37" fillId="0" borderId="24" xfId="50" applyNumberFormat="1" applyFont="1" applyBorder="1" applyAlignment="1">
      <alignment vertical="center"/>
      <protection/>
    </xf>
    <xf numFmtId="0" fontId="40" fillId="0" borderId="20" xfId="50" applyFont="1" applyBorder="1" applyAlignment="1">
      <alignment vertical="center"/>
      <protection/>
    </xf>
    <xf numFmtId="0" fontId="37" fillId="0" borderId="19" xfId="50" applyFont="1" applyBorder="1" applyAlignment="1">
      <alignment vertical="center"/>
      <protection/>
    </xf>
    <xf numFmtId="0" fontId="40" fillId="0" borderId="25" xfId="50" applyFont="1" applyFill="1" applyBorder="1" applyAlignment="1">
      <alignment vertical="center"/>
      <protection/>
    </xf>
    <xf numFmtId="4" fontId="37" fillId="0" borderId="25" xfId="50" applyNumberFormat="1" applyFont="1" applyBorder="1" applyAlignment="1">
      <alignment vertical="center"/>
      <protection/>
    </xf>
    <xf numFmtId="0" fontId="40" fillId="0" borderId="13" xfId="50" applyFont="1" applyFill="1" applyBorder="1" applyAlignment="1">
      <alignment vertical="center"/>
      <protection/>
    </xf>
    <xf numFmtId="0" fontId="40" fillId="0" borderId="14" xfId="50" applyFont="1" applyBorder="1" applyAlignment="1">
      <alignment vertical="center"/>
      <protection/>
    </xf>
    <xf numFmtId="0" fontId="40" fillId="0" borderId="0" xfId="50" applyFont="1" applyFill="1" applyAlignment="1">
      <alignment vertical="center"/>
      <protection/>
    </xf>
    <xf numFmtId="4" fontId="40" fillId="0" borderId="0" xfId="5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73" fillId="0" borderId="0" xfId="0" applyFont="1" applyAlignment="1">
      <alignment horizontal="left" indent="2"/>
    </xf>
    <xf numFmtId="10" fontId="73" fillId="0" borderId="0" xfId="0" applyNumberFormat="1" applyFont="1" applyAlignment="1">
      <alignment/>
    </xf>
    <xf numFmtId="0" fontId="33" fillId="0" borderId="10" xfId="50" applyFont="1" applyBorder="1" applyAlignment="1">
      <alignment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3" fillId="0" borderId="27" xfId="50" applyFont="1" applyBorder="1" applyAlignment="1">
      <alignment vertical="center"/>
      <protection/>
    </xf>
    <xf numFmtId="0" fontId="34" fillId="0" borderId="27" xfId="50" applyFont="1" applyBorder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left" indent="2"/>
    </xf>
    <xf numFmtId="0" fontId="74" fillId="0" borderId="0" xfId="0" applyFont="1" applyAlignment="1">
      <alignment horizontal="left" indent="7"/>
    </xf>
    <xf numFmtId="0" fontId="74" fillId="0" borderId="0" xfId="0" applyFont="1" applyAlignment="1">
      <alignment horizontal="left" indent="15"/>
    </xf>
    <xf numFmtId="0" fontId="74" fillId="0" borderId="0" xfId="0" applyFont="1" applyBorder="1" applyAlignment="1">
      <alignment/>
    </xf>
    <xf numFmtId="0" fontId="0" fillId="0" borderId="0" xfId="0" applyAlignment="1">
      <alignment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0" xfId="0" applyFont="1" applyAlignment="1">
      <alignment horizontal="center"/>
    </xf>
    <xf numFmtId="10" fontId="70" fillId="0" borderId="13" xfId="0" applyNumberFormat="1" applyFont="1" applyBorder="1" applyAlignment="1">
      <alignment/>
    </xf>
    <xf numFmtId="0" fontId="70" fillId="0" borderId="0" xfId="0" applyFont="1" applyAlignment="1">
      <alignment horizontal="left"/>
    </xf>
    <xf numFmtId="0" fontId="75" fillId="28" borderId="13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0" fillId="0" borderId="0" xfId="0" applyFont="1" applyAlignment="1">
      <alignment horizontal="right"/>
    </xf>
    <xf numFmtId="4" fontId="0" fillId="0" borderId="0" xfId="0" applyNumberFormat="1" applyAlignment="1">
      <alignment vertical="center"/>
    </xf>
    <xf numFmtId="0" fontId="77" fillId="0" borderId="13" xfId="0" applyFont="1" applyFill="1" applyBorder="1" applyAlignment="1">
      <alignment wrapText="1"/>
    </xf>
    <xf numFmtId="0" fontId="7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70" fillId="0" borderId="0" xfId="0" applyFont="1" applyAlignment="1">
      <alignment vertical="center"/>
    </xf>
    <xf numFmtId="0" fontId="77" fillId="0" borderId="0" xfId="0" applyFont="1" applyAlignment="1">
      <alignment/>
    </xf>
    <xf numFmtId="4" fontId="70" fillId="0" borderId="0" xfId="0" applyNumberFormat="1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 indent="2"/>
    </xf>
    <xf numFmtId="0" fontId="74" fillId="0" borderId="0" xfId="0" applyFont="1" applyFill="1" applyAlignment="1">
      <alignment horizontal="justify"/>
    </xf>
    <xf numFmtId="0" fontId="2" fillId="0" borderId="0" xfId="50">
      <alignment/>
      <protection/>
    </xf>
    <xf numFmtId="10" fontId="72" fillId="28" borderId="0" xfId="0" applyNumberFormat="1" applyFont="1" applyFill="1" applyBorder="1" applyAlignment="1">
      <alignment horizontal="left"/>
    </xf>
    <xf numFmtId="0" fontId="72" fillId="28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4" fillId="0" borderId="18" xfId="50" applyFont="1" applyFill="1" applyBorder="1" applyAlignment="1">
      <alignment vertical="center"/>
      <protection/>
    </xf>
    <xf numFmtId="0" fontId="33" fillId="0" borderId="18" xfId="50" applyFont="1" applyFill="1" applyBorder="1" applyAlignment="1">
      <alignment vertical="center"/>
      <protection/>
    </xf>
    <xf numFmtId="4" fontId="33" fillId="0" borderId="18" xfId="50" applyNumberFormat="1" applyFont="1" applyFill="1" applyBorder="1" applyAlignment="1">
      <alignment vertical="center"/>
      <protection/>
    </xf>
    <xf numFmtId="4" fontId="37" fillId="0" borderId="18" xfId="50" applyNumberFormat="1" applyFont="1" applyFill="1" applyBorder="1" applyAlignment="1">
      <alignment vertical="center"/>
      <protection/>
    </xf>
    <xf numFmtId="4" fontId="38" fillId="0" borderId="13" xfId="50" applyNumberFormat="1" applyFont="1" applyBorder="1" applyAlignment="1">
      <alignment horizontal="center" vertical="center"/>
      <protection/>
    </xf>
    <xf numFmtId="4" fontId="78" fillId="0" borderId="13" xfId="50" applyNumberFormat="1" applyFont="1" applyBorder="1" applyAlignment="1">
      <alignment horizontal="center" vertical="center"/>
      <protection/>
    </xf>
    <xf numFmtId="0" fontId="37" fillId="34" borderId="13" xfId="50" applyFont="1" applyFill="1" applyBorder="1" applyAlignment="1">
      <alignment horizontal="center" vertical="center"/>
      <protection/>
    </xf>
    <xf numFmtId="2" fontId="5" fillId="0" borderId="13" xfId="55" applyNumberFormat="1" applyFont="1" applyFill="1" applyBorder="1" applyAlignment="1">
      <alignment horizontal="right"/>
    </xf>
    <xf numFmtId="171" fontId="5" fillId="0" borderId="13" xfId="55" applyNumberFormat="1" applyFont="1" applyFill="1" applyBorder="1" applyAlignment="1">
      <alignment/>
    </xf>
    <xf numFmtId="171" fontId="5" fillId="0" borderId="13" xfId="55" applyNumberFormat="1" applyFont="1" applyFill="1" applyBorder="1" applyAlignment="1">
      <alignment horizontal="right"/>
    </xf>
    <xf numFmtId="49" fontId="4" fillId="0" borderId="13" xfId="55" applyNumberFormat="1" applyFont="1" applyFill="1" applyBorder="1" applyAlignment="1">
      <alignment horizontal="center"/>
    </xf>
    <xf numFmtId="49" fontId="4" fillId="0" borderId="13" xfId="55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37" fillId="35" borderId="25" xfId="50" applyFont="1" applyFill="1" applyBorder="1" applyAlignment="1">
      <alignment horizontal="center" vertical="center"/>
      <protection/>
    </xf>
    <xf numFmtId="0" fontId="37" fillId="35" borderId="18" xfId="50" applyFont="1" applyFill="1" applyBorder="1" applyAlignment="1">
      <alignment horizontal="center" vertical="center"/>
      <protection/>
    </xf>
    <xf numFmtId="0" fontId="37" fillId="35" borderId="14" xfId="50" applyFont="1" applyFill="1" applyBorder="1" applyAlignment="1">
      <alignment horizontal="center" vertical="center"/>
      <protection/>
    </xf>
    <xf numFmtId="0" fontId="34" fillId="35" borderId="13" xfId="50" applyFont="1" applyFill="1" applyBorder="1" applyAlignment="1">
      <alignment vertical="center"/>
      <protection/>
    </xf>
    <xf numFmtId="0" fontId="34" fillId="35" borderId="18" xfId="50" applyFont="1" applyFill="1" applyBorder="1" applyAlignment="1">
      <alignment vertical="center"/>
      <protection/>
    </xf>
    <xf numFmtId="4" fontId="69" fillId="0" borderId="0" xfId="0" applyNumberFormat="1" applyFont="1" applyAlignment="1">
      <alignment vertical="center"/>
    </xf>
    <xf numFmtId="4" fontId="0" fillId="0" borderId="0" xfId="0" applyNumberFormat="1" applyFill="1" applyAlignment="1">
      <alignment vertical="center"/>
    </xf>
    <xf numFmtId="4" fontId="40" fillId="0" borderId="13" xfId="50" applyNumberFormat="1" applyFont="1" applyBorder="1" applyAlignment="1">
      <alignment horizontal="center" vertical="center"/>
      <protection/>
    </xf>
    <xf numFmtId="4" fontId="40" fillId="0" borderId="13" xfId="50" applyNumberFormat="1" applyFont="1" applyBorder="1" applyAlignment="1">
      <alignment vertical="center"/>
      <protection/>
    </xf>
    <xf numFmtId="0" fontId="4" fillId="0" borderId="13" xfId="0" applyFont="1" applyFill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184" fontId="0" fillId="0" borderId="0" xfId="0" applyNumberFormat="1" applyAlignment="1">
      <alignment/>
    </xf>
    <xf numFmtId="0" fontId="71" fillId="13" borderId="13" xfId="0" applyFont="1" applyFill="1" applyBorder="1" applyAlignment="1">
      <alignment horizontal="center" vertical="center"/>
    </xf>
    <xf numFmtId="174" fontId="71" fillId="28" borderId="13" xfId="0" applyNumberFormat="1" applyFont="1" applyFill="1" applyBorder="1" applyAlignment="1">
      <alignment horizontal="center"/>
    </xf>
    <xf numFmtId="0" fontId="75" fillId="28" borderId="13" xfId="0" applyFont="1" applyFill="1" applyBorder="1" applyAlignment="1">
      <alignment horizontal="justify"/>
    </xf>
    <xf numFmtId="0" fontId="72" fillId="28" borderId="13" xfId="0" applyFont="1" applyFill="1" applyBorder="1" applyAlignment="1">
      <alignment horizontal="center"/>
    </xf>
    <xf numFmtId="4" fontId="72" fillId="28" borderId="13" xfId="0" applyNumberFormat="1" applyFont="1" applyFill="1" applyBorder="1" applyAlignment="1">
      <alignment/>
    </xf>
    <xf numFmtId="4" fontId="72" fillId="28" borderId="13" xfId="0" applyNumberFormat="1" applyFont="1" applyFill="1" applyBorder="1" applyAlignment="1">
      <alignment horizontal="right"/>
    </xf>
    <xf numFmtId="4" fontId="79" fillId="28" borderId="13" xfId="0" applyNumberFormat="1" applyFont="1" applyFill="1" applyBorder="1" applyAlignment="1">
      <alignment horizontal="right"/>
    </xf>
    <xf numFmtId="0" fontId="77" fillId="33" borderId="13" xfId="0" applyFont="1" applyFill="1" applyBorder="1" applyAlignment="1">
      <alignment/>
    </xf>
    <xf numFmtId="4" fontId="72" fillId="28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left" wrapText="1"/>
    </xf>
    <xf numFmtId="4" fontId="75" fillId="28" borderId="13" xfId="0" applyNumberFormat="1" applyFont="1" applyFill="1" applyBorder="1" applyAlignment="1">
      <alignment/>
    </xf>
    <xf numFmtId="0" fontId="77" fillId="34" borderId="13" xfId="0" applyFont="1" applyFill="1" applyBorder="1" applyAlignment="1">
      <alignment/>
    </xf>
    <xf numFmtId="0" fontId="70" fillId="34" borderId="13" xfId="0" applyFont="1" applyFill="1" applyBorder="1" applyAlignment="1">
      <alignment horizontal="justify"/>
    </xf>
    <xf numFmtId="0" fontId="70" fillId="34" borderId="13" xfId="0" applyFont="1" applyFill="1" applyBorder="1" applyAlignment="1">
      <alignment horizontal="center"/>
    </xf>
    <xf numFmtId="4" fontId="70" fillId="34" borderId="13" xfId="0" applyNumberFormat="1" applyFont="1" applyFill="1" applyBorder="1" applyAlignment="1">
      <alignment/>
    </xf>
    <xf numFmtId="4" fontId="70" fillId="34" borderId="13" xfId="0" applyNumberFormat="1" applyFont="1" applyFill="1" applyBorder="1" applyAlignment="1">
      <alignment horizontal="right"/>
    </xf>
    <xf numFmtId="0" fontId="77" fillId="34" borderId="13" xfId="0" applyFont="1" applyFill="1" applyBorder="1" applyAlignment="1">
      <alignment horizontal="center"/>
    </xf>
    <xf numFmtId="49" fontId="4" fillId="34" borderId="13" xfId="55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71" fontId="5" fillId="34" borderId="13" xfId="55" applyNumberFormat="1" applyFont="1" applyFill="1" applyBorder="1" applyAlignment="1">
      <alignment horizontal="center"/>
    </xf>
    <xf numFmtId="4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5" fillId="34" borderId="13" xfId="0" applyFont="1" applyFill="1" applyBorder="1" applyAlignment="1">
      <alignment horizontal="justify" wrapText="1"/>
    </xf>
    <xf numFmtId="171" fontId="5" fillId="34" borderId="13" xfId="55" applyNumberFormat="1" applyFont="1" applyFill="1" applyBorder="1" applyAlignment="1">
      <alignment/>
    </xf>
    <xf numFmtId="49" fontId="4" fillId="34" borderId="13" xfId="55" applyNumberFormat="1" applyFont="1" applyFill="1" applyBorder="1" applyAlignment="1">
      <alignment horizontal="center" wrapText="1"/>
    </xf>
    <xf numFmtId="0" fontId="34" fillId="0" borderId="11" xfId="50" applyFont="1" applyBorder="1" applyAlignment="1">
      <alignment horizontal="center" vertical="center"/>
      <protection/>
    </xf>
    <xf numFmtId="0" fontId="34" fillId="0" borderId="12" xfId="50" applyFont="1" applyBorder="1" applyAlignment="1">
      <alignment horizontal="center" vertical="center"/>
      <protection/>
    </xf>
    <xf numFmtId="0" fontId="34" fillId="0" borderId="28" xfId="50" applyFont="1" applyBorder="1" applyAlignment="1">
      <alignment horizontal="center" vertical="center"/>
      <protection/>
    </xf>
    <xf numFmtId="0" fontId="70" fillId="0" borderId="13" xfId="0" applyFont="1" applyBorder="1" applyAlignment="1">
      <alignment horizontal="justify" vertical="center"/>
    </xf>
    <xf numFmtId="4" fontId="71" fillId="13" borderId="13" xfId="0" applyNumberFormat="1" applyFont="1" applyFill="1" applyBorder="1" applyAlignment="1">
      <alignment horizontal="center" vertical="center"/>
    </xf>
    <xf numFmtId="2" fontId="70" fillId="0" borderId="0" xfId="0" applyNumberFormat="1" applyFont="1" applyAlignment="1">
      <alignment horizontal="right" vertical="center"/>
    </xf>
    <xf numFmtId="0" fontId="72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70" fillId="0" borderId="0" xfId="0" applyNumberFormat="1" applyFont="1" applyAlignment="1">
      <alignment vertical="center"/>
    </xf>
    <xf numFmtId="0" fontId="70" fillId="34" borderId="0" xfId="0" applyFont="1" applyFill="1" applyAlignment="1">
      <alignment vertical="center"/>
    </xf>
    <xf numFmtId="0" fontId="70" fillId="36" borderId="0" xfId="0" applyFont="1" applyFill="1" applyAlignment="1">
      <alignment vertical="center"/>
    </xf>
    <xf numFmtId="0" fontId="77" fillId="18" borderId="13" xfId="0" applyFont="1" applyFill="1" applyBorder="1" applyAlignment="1">
      <alignment horizontal="center"/>
    </xf>
    <xf numFmtId="0" fontId="72" fillId="18" borderId="13" xfId="0" applyFont="1" applyFill="1" applyBorder="1" applyAlignment="1">
      <alignment horizontal="justify"/>
    </xf>
    <xf numFmtId="0" fontId="70" fillId="18" borderId="13" xfId="0" applyFont="1" applyFill="1" applyBorder="1" applyAlignment="1">
      <alignment horizontal="center"/>
    </xf>
    <xf numFmtId="4" fontId="70" fillId="18" borderId="13" xfId="0" applyNumberFormat="1" applyFont="1" applyFill="1" applyBorder="1" applyAlignment="1">
      <alignment/>
    </xf>
    <xf numFmtId="4" fontId="70" fillId="18" borderId="13" xfId="0" applyNumberFormat="1" applyFont="1" applyFill="1" applyBorder="1" applyAlignment="1">
      <alignment horizontal="right"/>
    </xf>
    <xf numFmtId="49" fontId="4" fillId="18" borderId="13" xfId="55" applyNumberFormat="1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justify" wrapText="1"/>
    </xf>
    <xf numFmtId="171" fontId="5" fillId="18" borderId="13" xfId="55" applyNumberFormat="1" applyFont="1" applyFill="1" applyBorder="1" applyAlignment="1">
      <alignment/>
    </xf>
    <xf numFmtId="0" fontId="70" fillId="0" borderId="13" xfId="0" applyFont="1" applyBorder="1" applyAlignment="1">
      <alignment horizontal="left" vertical="center"/>
    </xf>
    <xf numFmtId="0" fontId="75" fillId="28" borderId="13" xfId="0" applyFont="1" applyFill="1" applyBorder="1" applyAlignment="1">
      <alignment horizontal="center"/>
    </xf>
    <xf numFmtId="0" fontId="81" fillId="0" borderId="13" xfId="0" applyFont="1" applyBorder="1" applyAlignment="1">
      <alignment horizontal="justify"/>
    </xf>
    <xf numFmtId="0" fontId="81" fillId="0" borderId="13" xfId="0" applyFont="1" applyBorder="1" applyAlignment="1">
      <alignment horizontal="justify" wrapText="1"/>
    </xf>
    <xf numFmtId="0" fontId="81" fillId="0" borderId="13" xfId="0" applyFont="1" applyBorder="1" applyAlignment="1">
      <alignment horizontal="center"/>
    </xf>
    <xf numFmtId="0" fontId="81" fillId="0" borderId="13" xfId="0" applyFont="1" applyBorder="1" applyAlignment="1">
      <alignment horizontal="justify" vertical="center" wrapText="1"/>
    </xf>
    <xf numFmtId="0" fontId="81" fillId="0" borderId="13" xfId="0" applyFont="1" applyBorder="1" applyAlignment="1">
      <alignment horizontal="center" vertical="center"/>
    </xf>
    <xf numFmtId="0" fontId="79" fillId="28" borderId="13" xfId="0" applyNumberFormat="1" applyFont="1" applyFill="1" applyBorder="1" applyAlignment="1">
      <alignment horizontal="center"/>
    </xf>
    <xf numFmtId="0" fontId="70" fillId="34" borderId="13" xfId="0" applyFont="1" applyFill="1" applyBorder="1" applyAlignment="1">
      <alignment horizontal="justify" vertical="center"/>
    </xf>
    <xf numFmtId="43" fontId="69" fillId="0" borderId="0" xfId="55" applyFont="1" applyAlignment="1">
      <alignment vertical="center"/>
    </xf>
    <xf numFmtId="49" fontId="75" fillId="28" borderId="13" xfId="0" applyNumberFormat="1" applyFont="1" applyFill="1" applyBorder="1" applyAlignment="1">
      <alignment horizontal="center"/>
    </xf>
    <xf numFmtId="0" fontId="72" fillId="13" borderId="13" xfId="0" applyFont="1" applyFill="1" applyBorder="1" applyAlignment="1">
      <alignment vertical="center"/>
    </xf>
    <xf numFmtId="0" fontId="72" fillId="13" borderId="13" xfId="0" applyFont="1" applyFill="1" applyBorder="1" applyAlignment="1">
      <alignment horizontal="center" vertical="center"/>
    </xf>
    <xf numFmtId="4" fontId="72" fillId="13" borderId="13" xfId="0" applyNumberFormat="1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wrapText="1"/>
    </xf>
    <xf numFmtId="0" fontId="79" fillId="28" borderId="13" xfId="0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justify" vertical="center"/>
    </xf>
    <xf numFmtId="0" fontId="6" fillId="33" borderId="13" xfId="0" applyFont="1" applyFill="1" applyBorder="1" applyAlignment="1">
      <alignment horizontal="justify" vertical="center"/>
    </xf>
    <xf numFmtId="0" fontId="81" fillId="0" borderId="25" xfId="0" applyFont="1" applyBorder="1" applyAlignment="1">
      <alignment horizontal="left" vertical="center" wrapText="1"/>
    </xf>
    <xf numFmtId="0" fontId="72" fillId="33" borderId="25" xfId="0" applyFont="1" applyFill="1" applyBorder="1" applyAlignment="1">
      <alignment horizontal="justify"/>
    </xf>
    <xf numFmtId="0" fontId="77" fillId="33" borderId="29" xfId="0" applyFont="1" applyFill="1" applyBorder="1" applyAlignment="1">
      <alignment horizontal="center"/>
    </xf>
    <xf numFmtId="0" fontId="77" fillId="33" borderId="19" xfId="0" applyFont="1" applyFill="1" applyBorder="1" applyAlignment="1">
      <alignment horizontal="center"/>
    </xf>
    <xf numFmtId="0" fontId="72" fillId="33" borderId="25" xfId="0" applyFont="1" applyFill="1" applyBorder="1" applyAlignment="1">
      <alignment horizontal="justify" vertical="center"/>
    </xf>
    <xf numFmtId="0" fontId="72" fillId="33" borderId="29" xfId="0" applyFont="1" applyFill="1" applyBorder="1" applyAlignment="1">
      <alignment horizontal="justify"/>
    </xf>
    <xf numFmtId="0" fontId="71" fillId="13" borderId="30" xfId="0" applyFont="1" applyFill="1" applyBorder="1" applyAlignment="1">
      <alignment vertical="center"/>
    </xf>
    <xf numFmtId="0" fontId="79" fillId="28" borderId="30" xfId="0" applyFont="1" applyFill="1" applyBorder="1" applyAlignment="1">
      <alignment horizontal="center"/>
    </xf>
    <xf numFmtId="4" fontId="79" fillId="28" borderId="31" xfId="0" applyNumberFormat="1" applyFont="1" applyFill="1" applyBorder="1" applyAlignment="1">
      <alignment horizontal="right"/>
    </xf>
    <xf numFmtId="0" fontId="70" fillId="0" borderId="30" xfId="0" applyFont="1" applyBorder="1" applyAlignment="1">
      <alignment horizontal="center"/>
    </xf>
    <xf numFmtId="0" fontId="70" fillId="0" borderId="30" xfId="0" applyFont="1" applyBorder="1" applyAlignment="1">
      <alignment horizontal="center" vertical="center"/>
    </xf>
    <xf numFmtId="49" fontId="79" fillId="28" borderId="30" xfId="0" applyNumberFormat="1" applyFont="1" applyFill="1" applyBorder="1" applyAlignment="1">
      <alignment horizontal="center"/>
    </xf>
    <xf numFmtId="0" fontId="72" fillId="33" borderId="31" xfId="0" applyFont="1" applyFill="1" applyBorder="1" applyAlignment="1">
      <alignment horizontal="justify"/>
    </xf>
    <xf numFmtId="0" fontId="0" fillId="0" borderId="30" xfId="0" applyBorder="1" applyAlignment="1">
      <alignment horizontal="center" vertical="center"/>
    </xf>
    <xf numFmtId="0" fontId="77" fillId="33" borderId="32" xfId="0" applyFont="1" applyFill="1" applyBorder="1" applyAlignment="1">
      <alignment horizontal="center"/>
    </xf>
    <xf numFmtId="4" fontId="72" fillId="33" borderId="32" xfId="0" applyNumberFormat="1" applyFont="1" applyFill="1" applyBorder="1" applyAlignment="1">
      <alignment horizontal="right"/>
    </xf>
    <xf numFmtId="0" fontId="71" fillId="13" borderId="13" xfId="0" applyFont="1" applyFill="1" applyBorder="1" applyAlignment="1">
      <alignment horizontal="distributed" vertical="distributed"/>
    </xf>
    <xf numFmtId="0" fontId="81" fillId="0" borderId="13" xfId="0" applyFont="1" applyBorder="1" applyAlignment="1">
      <alignment horizontal="center" vertical="center" wrapText="1"/>
    </xf>
    <xf numFmtId="4" fontId="70" fillId="34" borderId="25" xfId="0" applyNumberFormat="1" applyFont="1" applyFill="1" applyBorder="1" applyAlignment="1">
      <alignment horizontal="right"/>
    </xf>
    <xf numFmtId="0" fontId="81" fillId="0" borderId="29" xfId="0" applyFont="1" applyBorder="1" applyAlignment="1">
      <alignment vertical="center" wrapText="1"/>
    </xf>
    <xf numFmtId="0" fontId="81" fillId="0" borderId="32" xfId="0" applyFont="1" applyBorder="1" applyAlignment="1">
      <alignment vertical="center" wrapText="1"/>
    </xf>
    <xf numFmtId="4" fontId="70" fillId="0" borderId="25" xfId="0" applyNumberFormat="1" applyFont="1" applyFill="1" applyBorder="1" applyAlignment="1">
      <alignment vertical="center"/>
    </xf>
    <xf numFmtId="4" fontId="70" fillId="0" borderId="29" xfId="0" applyNumberFormat="1" applyFont="1" applyFill="1" applyBorder="1" applyAlignment="1">
      <alignment vertical="center"/>
    </xf>
    <xf numFmtId="4" fontId="70" fillId="0" borderId="13" xfId="0" applyNumberFormat="1" applyFont="1" applyFill="1" applyBorder="1" applyAlignment="1">
      <alignment vertical="center"/>
    </xf>
    <xf numFmtId="4" fontId="81" fillId="0" borderId="13" xfId="0" applyNumberFormat="1" applyFont="1" applyBorder="1" applyAlignment="1">
      <alignment vertical="center" wrapText="1"/>
    </xf>
    <xf numFmtId="4" fontId="70" fillId="0" borderId="0" xfId="0" applyNumberFormat="1" applyFont="1" applyAlignment="1">
      <alignment/>
    </xf>
    <xf numFmtId="4" fontId="70" fillId="0" borderId="29" xfId="0" applyNumberFormat="1" applyFont="1" applyBorder="1" applyAlignment="1">
      <alignment/>
    </xf>
    <xf numFmtId="4" fontId="70" fillId="0" borderId="32" xfId="0" applyNumberFormat="1" applyFont="1" applyBorder="1" applyAlignment="1">
      <alignment/>
    </xf>
    <xf numFmtId="4" fontId="70" fillId="0" borderId="25" xfId="0" applyNumberFormat="1" applyFont="1" applyFill="1" applyBorder="1" applyAlignment="1">
      <alignment/>
    </xf>
    <xf numFmtId="4" fontId="70" fillId="0" borderId="29" xfId="0" applyNumberFormat="1" applyFont="1" applyFill="1" applyBorder="1" applyAlignment="1">
      <alignment/>
    </xf>
    <xf numFmtId="4" fontId="70" fillId="0" borderId="32" xfId="0" applyNumberFormat="1" applyFont="1" applyFill="1" applyBorder="1" applyAlignment="1">
      <alignment/>
    </xf>
    <xf numFmtId="186" fontId="81" fillId="0" borderId="25" xfId="0" applyNumberFormat="1" applyFont="1" applyBorder="1" applyAlignment="1">
      <alignment vertical="center" wrapText="1"/>
    </xf>
    <xf numFmtId="4" fontId="81" fillId="0" borderId="13" xfId="0" applyNumberFormat="1" applyFont="1" applyBorder="1" applyAlignment="1">
      <alignment wrapText="1"/>
    </xf>
    <xf numFmtId="2" fontId="81" fillId="0" borderId="13" xfId="0" applyNumberFormat="1" applyFont="1" applyBorder="1" applyAlignment="1">
      <alignment wrapText="1"/>
    </xf>
    <xf numFmtId="2" fontId="81" fillId="0" borderId="25" xfId="0" applyNumberFormat="1" applyFont="1" applyBorder="1" applyAlignment="1">
      <alignment wrapText="1"/>
    </xf>
    <xf numFmtId="4" fontId="75" fillId="0" borderId="0" xfId="0" applyNumberFormat="1" applyFont="1" applyAlignment="1">
      <alignment horizontal="right" vertical="center"/>
    </xf>
    <xf numFmtId="43" fontId="0" fillId="0" borderId="0" xfId="55" applyFont="1" applyAlignment="1">
      <alignment/>
    </xf>
    <xf numFmtId="43" fontId="0" fillId="28" borderId="13" xfId="55" applyFont="1" applyFill="1" applyBorder="1" applyAlignment="1">
      <alignment/>
    </xf>
    <xf numFmtId="4" fontId="70" fillId="0" borderId="2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left"/>
    </xf>
    <xf numFmtId="0" fontId="70" fillId="0" borderId="0" xfId="0" applyFont="1" applyBorder="1" applyAlignment="1">
      <alignment horizontal="left"/>
    </xf>
    <xf numFmtId="0" fontId="75" fillId="28" borderId="13" xfId="0" applyFont="1" applyFill="1" applyBorder="1" applyAlignment="1">
      <alignment horizontal="center"/>
    </xf>
    <xf numFmtId="49" fontId="79" fillId="28" borderId="13" xfId="0" applyNumberFormat="1" applyFont="1" applyFill="1" applyBorder="1" applyAlignment="1">
      <alignment horizontal="center"/>
    </xf>
    <xf numFmtId="0" fontId="82" fillId="0" borderId="25" xfId="0" applyFont="1" applyBorder="1" applyAlignment="1">
      <alignment horizontal="left"/>
    </xf>
    <xf numFmtId="0" fontId="82" fillId="0" borderId="29" xfId="0" applyFont="1" applyBorder="1" applyAlignment="1">
      <alignment horizontal="left"/>
    </xf>
    <xf numFmtId="0" fontId="82" fillId="0" borderId="19" xfId="0" applyFont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2" fillId="0" borderId="0" xfId="0" applyFont="1" applyAlignment="1">
      <alignment horizontal="left"/>
    </xf>
    <xf numFmtId="0" fontId="79" fillId="0" borderId="29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center"/>
    </xf>
    <xf numFmtId="0" fontId="79" fillId="0" borderId="29" xfId="0" applyFont="1" applyFill="1" applyBorder="1" applyAlignment="1">
      <alignment/>
    </xf>
    <xf numFmtId="0" fontId="79" fillId="0" borderId="19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6" fillId="0" borderId="0" xfId="0" applyFont="1" applyAlignment="1">
      <alignment horizontal="center"/>
    </xf>
    <xf numFmtId="0" fontId="70" fillId="0" borderId="3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" fontId="81" fillId="0" borderId="13" xfId="0" applyNumberFormat="1" applyFont="1" applyBorder="1" applyAlignment="1">
      <alignment/>
    </xf>
    <xf numFmtId="0" fontId="81" fillId="34" borderId="13" xfId="0" applyFont="1" applyFill="1" applyBorder="1" applyAlignment="1">
      <alignment horizontal="center" wrapText="1"/>
    </xf>
    <xf numFmtId="0" fontId="83" fillId="0" borderId="13" xfId="0" applyFont="1" applyBorder="1" applyAlignment="1">
      <alignment/>
    </xf>
    <xf numFmtId="0" fontId="83" fillId="0" borderId="13" xfId="0" applyFont="1" applyBorder="1" applyAlignment="1">
      <alignment horizontal="center"/>
    </xf>
    <xf numFmtId="0" fontId="75" fillId="28" borderId="13" xfId="0" applyFont="1" applyFill="1" applyBorder="1" applyAlignment="1">
      <alignment horizontal="left" vertical="center"/>
    </xf>
    <xf numFmtId="0" fontId="75" fillId="28" borderId="13" xfId="0" applyFont="1" applyFill="1" applyBorder="1" applyAlignment="1">
      <alignment horizontal="left"/>
    </xf>
    <xf numFmtId="49" fontId="72" fillId="28" borderId="13" xfId="0" applyNumberFormat="1" applyFont="1" applyFill="1" applyBorder="1" applyAlignment="1">
      <alignment horizontal="left"/>
    </xf>
    <xf numFmtId="49" fontId="72" fillId="28" borderId="13" xfId="0" applyNumberFormat="1" applyFont="1" applyFill="1" applyBorder="1" applyAlignment="1">
      <alignment horizontal="left" vertical="center"/>
    </xf>
    <xf numFmtId="4" fontId="72" fillId="0" borderId="13" xfId="0" applyNumberFormat="1" applyFont="1" applyBorder="1" applyAlignment="1">
      <alignment horizontal="right" vertical="center"/>
    </xf>
    <xf numFmtId="4" fontId="72" fillId="33" borderId="13" xfId="0" applyNumberFormat="1" applyFont="1" applyFill="1" applyBorder="1" applyAlignment="1">
      <alignment horizontal="right" vertical="center"/>
    </xf>
    <xf numFmtId="184" fontId="72" fillId="0" borderId="13" xfId="0" applyNumberFormat="1" applyFont="1" applyBorder="1" applyAlignment="1">
      <alignment horizontal="right" vertical="center"/>
    </xf>
    <xf numFmtId="4" fontId="75" fillId="33" borderId="13" xfId="0" applyNumberFormat="1" applyFont="1" applyFill="1" applyBorder="1" applyAlignment="1">
      <alignment horizontal="right" vertical="center"/>
    </xf>
    <xf numFmtId="174" fontId="71" fillId="28" borderId="13" xfId="0" applyNumberFormat="1" applyFont="1" applyFill="1" applyBorder="1" applyAlignment="1">
      <alignment horizontal="center" vertical="center"/>
    </xf>
    <xf numFmtId="0" fontId="77" fillId="33" borderId="29" xfId="0" applyFont="1" applyFill="1" applyBorder="1" applyAlignment="1">
      <alignment horizontal="center" vertical="center"/>
    </xf>
    <xf numFmtId="0" fontId="77" fillId="33" borderId="32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 wrapText="1"/>
    </xf>
    <xf numFmtId="4" fontId="13" fillId="37" borderId="35" xfId="0" applyNumberFormat="1" applyFont="1" applyFill="1" applyBorder="1" applyAlignment="1">
      <alignment horizontal="center" vertical="center" wrapText="1"/>
    </xf>
    <xf numFmtId="4" fontId="13" fillId="37" borderId="36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wrapText="1"/>
    </xf>
    <xf numFmtId="4" fontId="14" fillId="0" borderId="35" xfId="0" applyNumberFormat="1" applyFont="1" applyBorder="1" applyAlignment="1">
      <alignment horizontal="center" wrapText="1"/>
    </xf>
    <xf numFmtId="184" fontId="14" fillId="0" borderId="35" xfId="0" applyNumberFormat="1" applyFont="1" applyBorder="1" applyAlignment="1">
      <alignment horizontal="right" wrapText="1"/>
    </xf>
    <xf numFmtId="4" fontId="14" fillId="0" borderId="35" xfId="0" applyNumberFormat="1" applyFont="1" applyBorder="1" applyAlignment="1">
      <alignment horizontal="right" wrapText="1"/>
    </xf>
    <xf numFmtId="4" fontId="14" fillId="0" borderId="36" xfId="0" applyNumberFormat="1" applyFont="1" applyBorder="1" applyAlignment="1">
      <alignment horizontal="right" wrapText="1"/>
    </xf>
    <xf numFmtId="4" fontId="13" fillId="0" borderId="36" xfId="0" applyNumberFormat="1" applyFont="1" applyBorder="1" applyAlignment="1">
      <alignment horizontal="right" vertical="top" wrapText="1"/>
    </xf>
    <xf numFmtId="4" fontId="13" fillId="37" borderId="36" xfId="0" applyNumberFormat="1" applyFont="1" applyFill="1" applyBorder="1" applyAlignment="1">
      <alignment horizontal="right" vertical="top" wrapText="1"/>
    </xf>
    <xf numFmtId="4" fontId="13" fillId="38" borderId="36" xfId="0" applyNumberFormat="1" applyFont="1" applyFill="1" applyBorder="1" applyAlignment="1">
      <alignment horizontal="right" vertical="center" wrapText="1"/>
    </xf>
    <xf numFmtId="4" fontId="70" fillId="0" borderId="25" xfId="0" applyNumberFormat="1" applyFont="1" applyBorder="1" applyAlignment="1">
      <alignment horizontal="left"/>
    </xf>
    <xf numFmtId="49" fontId="34" fillId="35" borderId="18" xfId="50" applyNumberFormat="1" applyFont="1" applyFill="1" applyBorder="1" applyAlignment="1">
      <alignment vertical="center"/>
      <protection/>
    </xf>
    <xf numFmtId="0" fontId="37" fillId="0" borderId="22" xfId="50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0" fontId="3" fillId="0" borderId="3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7" fillId="39" borderId="25" xfId="50" applyFont="1" applyFill="1" applyBorder="1" applyAlignment="1">
      <alignment horizontal="center" vertical="center"/>
      <protection/>
    </xf>
    <xf numFmtId="0" fontId="72" fillId="33" borderId="25" xfId="0" applyFont="1" applyFill="1" applyBorder="1" applyAlignment="1">
      <alignment horizontal="right" vertical="center"/>
    </xf>
    <xf numFmtId="0" fontId="72" fillId="33" borderId="29" xfId="0" applyFont="1" applyFill="1" applyBorder="1" applyAlignment="1">
      <alignment horizontal="right" vertical="center"/>
    </xf>
    <xf numFmtId="0" fontId="72" fillId="33" borderId="19" xfId="0" applyFont="1" applyFill="1" applyBorder="1" applyAlignment="1">
      <alignment horizontal="right" vertical="center"/>
    </xf>
    <xf numFmtId="0" fontId="79" fillId="0" borderId="38" xfId="0" applyFont="1" applyBorder="1" applyAlignment="1">
      <alignment horizontal="left" vertical="center"/>
    </xf>
    <xf numFmtId="0" fontId="79" fillId="0" borderId="29" xfId="0" applyFont="1" applyBorder="1" applyAlignment="1">
      <alignment horizontal="left" vertical="center"/>
    </xf>
    <xf numFmtId="0" fontId="79" fillId="0" borderId="32" xfId="0" applyFont="1" applyBorder="1" applyAlignment="1">
      <alignment horizontal="left" vertical="center"/>
    </xf>
    <xf numFmtId="0" fontId="79" fillId="0" borderId="38" xfId="0" applyFont="1" applyBorder="1" applyAlignment="1">
      <alignment horizontal="left"/>
    </xf>
    <xf numFmtId="0" fontId="79" fillId="0" borderId="29" xfId="0" applyFont="1" applyBorder="1" applyAlignment="1">
      <alignment horizontal="left"/>
    </xf>
    <xf numFmtId="0" fontId="79" fillId="0" borderId="32" xfId="0" applyFont="1" applyBorder="1" applyAlignment="1">
      <alignment horizontal="left"/>
    </xf>
    <xf numFmtId="0" fontId="84" fillId="13" borderId="13" xfId="0" applyFont="1" applyFill="1" applyBorder="1" applyAlignment="1">
      <alignment horizontal="center" vertical="center"/>
    </xf>
    <xf numFmtId="4" fontId="72" fillId="28" borderId="25" xfId="0" applyNumberFormat="1" applyFont="1" applyFill="1" applyBorder="1" applyAlignment="1">
      <alignment horizontal="right"/>
    </xf>
    <xf numFmtId="4" fontId="72" fillId="28" borderId="29" xfId="0" applyNumberFormat="1" applyFont="1" applyFill="1" applyBorder="1" applyAlignment="1">
      <alignment horizontal="right"/>
    </xf>
    <xf numFmtId="4" fontId="72" fillId="28" borderId="13" xfId="0" applyNumberFormat="1" applyFont="1" applyFill="1" applyBorder="1" applyAlignment="1">
      <alignment horizontal="right"/>
    </xf>
    <xf numFmtId="0" fontId="72" fillId="0" borderId="25" xfId="0" applyFont="1" applyBorder="1" applyAlignment="1">
      <alignment horizontal="right" vertical="center"/>
    </xf>
    <xf numFmtId="0" fontId="72" fillId="0" borderId="29" xfId="0" applyFont="1" applyBorder="1" applyAlignment="1">
      <alignment horizontal="right" vertical="center"/>
    </xf>
    <xf numFmtId="0" fontId="72" fillId="0" borderId="19" xfId="0" applyFont="1" applyBorder="1" applyAlignment="1">
      <alignment horizontal="right" vertical="center"/>
    </xf>
    <xf numFmtId="0" fontId="81" fillId="0" borderId="25" xfId="0" applyFont="1" applyBorder="1" applyAlignment="1">
      <alignment horizontal="left" vertical="center" wrapText="1"/>
    </xf>
    <xf numFmtId="0" fontId="81" fillId="0" borderId="29" xfId="0" applyFont="1" applyBorder="1" applyAlignment="1">
      <alignment horizontal="left" vertical="center" wrapText="1"/>
    </xf>
    <xf numFmtId="0" fontId="81" fillId="0" borderId="32" xfId="0" applyFont="1" applyBorder="1" applyAlignment="1">
      <alignment horizontal="left" vertical="center" wrapText="1"/>
    </xf>
    <xf numFmtId="4" fontId="70" fillId="0" borderId="25" xfId="0" applyNumberFormat="1" applyFont="1" applyFill="1" applyBorder="1" applyAlignment="1">
      <alignment horizontal="left"/>
    </xf>
    <xf numFmtId="4" fontId="70" fillId="0" borderId="29" xfId="0" applyNumberFormat="1" applyFont="1" applyFill="1" applyBorder="1" applyAlignment="1">
      <alignment horizontal="left"/>
    </xf>
    <xf numFmtId="4" fontId="70" fillId="0" borderId="32" xfId="0" applyNumberFormat="1" applyFont="1" applyFill="1" applyBorder="1" applyAlignment="1">
      <alignment horizontal="left"/>
    </xf>
    <xf numFmtId="0" fontId="81" fillId="0" borderId="19" xfId="0" applyFont="1" applyBorder="1" applyAlignment="1">
      <alignment horizontal="left" vertical="center" wrapText="1"/>
    </xf>
    <xf numFmtId="4" fontId="81" fillId="0" borderId="25" xfId="0" applyNumberFormat="1" applyFont="1" applyBorder="1" applyAlignment="1">
      <alignment horizontal="left" vertical="center"/>
    </xf>
    <xf numFmtId="4" fontId="81" fillId="0" borderId="29" xfId="0" applyNumberFormat="1" applyFont="1" applyBorder="1" applyAlignment="1">
      <alignment horizontal="left" vertical="center"/>
    </xf>
    <xf numFmtId="4" fontId="81" fillId="0" borderId="32" xfId="0" applyNumberFormat="1" applyFont="1" applyBorder="1" applyAlignment="1">
      <alignment horizontal="left" vertical="center"/>
    </xf>
    <xf numFmtId="4" fontId="81" fillId="0" borderId="25" xfId="0" applyNumberFormat="1" applyFont="1" applyBorder="1" applyAlignment="1">
      <alignment horizontal="left"/>
    </xf>
    <xf numFmtId="4" fontId="81" fillId="0" borderId="29" xfId="0" applyNumberFormat="1" applyFont="1" applyBorder="1" applyAlignment="1">
      <alignment horizontal="left"/>
    </xf>
    <xf numFmtId="4" fontId="81" fillId="0" borderId="32" xfId="0" applyNumberFormat="1" applyFont="1" applyBorder="1" applyAlignment="1">
      <alignment horizontal="left"/>
    </xf>
    <xf numFmtId="4" fontId="81" fillId="0" borderId="25" xfId="0" applyNumberFormat="1" applyFont="1" applyBorder="1" applyAlignment="1">
      <alignment horizontal="left" vertical="distributed"/>
    </xf>
    <xf numFmtId="4" fontId="81" fillId="0" borderId="29" xfId="0" applyNumberFormat="1" applyFont="1" applyBorder="1" applyAlignment="1">
      <alignment horizontal="left" vertical="distributed"/>
    </xf>
    <xf numFmtId="4" fontId="81" fillId="0" borderId="32" xfId="0" applyNumberFormat="1" applyFont="1" applyBorder="1" applyAlignment="1">
      <alignment horizontal="left" vertical="distributed"/>
    </xf>
    <xf numFmtId="4" fontId="81" fillId="0" borderId="25" xfId="0" applyNumberFormat="1" applyFont="1" applyFill="1" applyBorder="1" applyAlignment="1">
      <alignment horizontal="left"/>
    </xf>
    <xf numFmtId="4" fontId="81" fillId="0" borderId="29" xfId="0" applyNumberFormat="1" applyFont="1" applyFill="1" applyBorder="1" applyAlignment="1">
      <alignment horizontal="left"/>
    </xf>
    <xf numFmtId="4" fontId="81" fillId="0" borderId="32" xfId="0" applyNumberFormat="1" applyFont="1" applyFill="1" applyBorder="1" applyAlignment="1">
      <alignment horizontal="left"/>
    </xf>
    <xf numFmtId="0" fontId="84" fillId="13" borderId="30" xfId="0" applyFont="1" applyFill="1" applyBorder="1" applyAlignment="1">
      <alignment horizontal="center" vertical="center"/>
    </xf>
    <xf numFmtId="0" fontId="84" fillId="13" borderId="31" xfId="0" applyFont="1" applyFill="1" applyBorder="1" applyAlignment="1">
      <alignment horizontal="center" vertical="center"/>
    </xf>
    <xf numFmtId="4" fontId="71" fillId="13" borderId="25" xfId="0" applyNumberFormat="1" applyFont="1" applyFill="1" applyBorder="1" applyAlignment="1">
      <alignment horizontal="center" vertical="center"/>
    </xf>
    <xf numFmtId="4" fontId="71" fillId="13" borderId="29" xfId="0" applyNumberFormat="1" applyFont="1" applyFill="1" applyBorder="1" applyAlignment="1">
      <alignment horizontal="center" vertical="center"/>
    </xf>
    <xf numFmtId="4" fontId="71" fillId="13" borderId="32" xfId="0" applyNumberFormat="1" applyFont="1" applyFill="1" applyBorder="1" applyAlignment="1">
      <alignment horizontal="center" vertical="center"/>
    </xf>
    <xf numFmtId="4" fontId="70" fillId="0" borderId="25" xfId="0" applyNumberFormat="1" applyFont="1" applyBorder="1" applyAlignment="1">
      <alignment horizontal="center"/>
    </xf>
    <xf numFmtId="4" fontId="70" fillId="0" borderId="29" xfId="0" applyNumberFormat="1" applyFont="1" applyBorder="1" applyAlignment="1">
      <alignment horizontal="center"/>
    </xf>
    <xf numFmtId="4" fontId="70" fillId="0" borderId="32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9" fillId="28" borderId="25" xfId="0" applyFont="1" applyFill="1" applyBorder="1" applyAlignment="1">
      <alignment horizontal="center"/>
    </xf>
    <xf numFmtId="0" fontId="79" fillId="28" borderId="29" xfId="0" applyFont="1" applyFill="1" applyBorder="1" applyAlignment="1">
      <alignment horizontal="center"/>
    </xf>
    <xf numFmtId="0" fontId="79" fillId="28" borderId="19" xfId="0" applyFont="1" applyFill="1" applyBorder="1" applyAlignment="1">
      <alignment horizontal="center"/>
    </xf>
    <xf numFmtId="0" fontId="79" fillId="28" borderId="13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" fillId="0" borderId="0" xfId="51" applyFont="1" applyFill="1" applyBorder="1" applyAlignment="1">
      <alignment horizontal="left" vertical="center" wrapText="1"/>
      <protection/>
    </xf>
    <xf numFmtId="0" fontId="75" fillId="28" borderId="13" xfId="0" applyFont="1" applyFill="1" applyBorder="1" applyAlignment="1">
      <alignment horizontal="center"/>
    </xf>
    <xf numFmtId="0" fontId="82" fillId="0" borderId="25" xfId="0" applyFont="1" applyBorder="1" applyAlignment="1">
      <alignment horizontal="left"/>
    </xf>
    <xf numFmtId="0" fontId="82" fillId="0" borderId="29" xfId="0" applyFont="1" applyBorder="1" applyAlignment="1">
      <alignment horizontal="left"/>
    </xf>
    <xf numFmtId="0" fontId="82" fillId="0" borderId="19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37" fillId="40" borderId="25" xfId="50" applyFont="1" applyFill="1" applyBorder="1" applyAlignment="1">
      <alignment horizontal="center" vertical="center"/>
      <protection/>
    </xf>
    <xf numFmtId="0" fontId="37" fillId="40" borderId="29" xfId="50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7" fillId="39" borderId="18" xfId="50" applyFont="1" applyFill="1" applyBorder="1" applyAlignment="1">
      <alignment horizontal="center" vertical="center"/>
      <protection/>
    </xf>
    <xf numFmtId="0" fontId="37" fillId="39" borderId="14" xfId="50" applyFont="1" applyFill="1" applyBorder="1" applyAlignment="1">
      <alignment horizontal="center" vertical="center"/>
      <protection/>
    </xf>
    <xf numFmtId="0" fontId="37" fillId="35" borderId="18" xfId="50" applyFont="1" applyFill="1" applyBorder="1" applyAlignment="1">
      <alignment horizontal="center" vertical="center"/>
      <protection/>
    </xf>
    <xf numFmtId="0" fontId="37" fillId="35" borderId="14" xfId="50" applyFont="1" applyFill="1" applyBorder="1" applyAlignment="1">
      <alignment horizontal="center" vertical="center"/>
      <protection/>
    </xf>
    <xf numFmtId="0" fontId="37" fillId="0" borderId="18" xfId="50" applyFont="1" applyFill="1" applyBorder="1" applyAlignment="1">
      <alignment horizontal="center" vertical="center"/>
      <protection/>
    </xf>
    <xf numFmtId="0" fontId="37" fillId="0" borderId="14" xfId="50" applyFont="1" applyFill="1" applyBorder="1" applyAlignment="1">
      <alignment horizontal="center" vertical="center"/>
      <protection/>
    </xf>
    <xf numFmtId="0" fontId="79" fillId="0" borderId="13" xfId="0" applyFont="1" applyBorder="1" applyAlignment="1">
      <alignment horizontal="left"/>
    </xf>
    <xf numFmtId="0" fontId="79" fillId="0" borderId="25" xfId="0" applyFont="1" applyBorder="1" applyAlignment="1">
      <alignment horizontal="left"/>
    </xf>
    <xf numFmtId="0" fontId="79" fillId="0" borderId="14" xfId="0" applyFont="1" applyBorder="1" applyAlignment="1">
      <alignment horizontal="left"/>
    </xf>
    <xf numFmtId="0" fontId="79" fillId="0" borderId="15" xfId="0" applyFont="1" applyBorder="1" applyAlignment="1">
      <alignment horizontal="left"/>
    </xf>
    <xf numFmtId="0" fontId="13" fillId="37" borderId="41" xfId="0" applyFont="1" applyFill="1" applyBorder="1" applyAlignment="1">
      <alignment horizontal="left" vertical="center" wrapText="1"/>
    </xf>
    <xf numFmtId="0" fontId="13" fillId="37" borderId="42" xfId="0" applyFont="1" applyFill="1" applyBorder="1" applyAlignment="1">
      <alignment horizontal="left" vertical="center" wrapText="1"/>
    </xf>
    <xf numFmtId="0" fontId="13" fillId="37" borderId="43" xfId="0" applyFont="1" applyFill="1" applyBorder="1" applyAlignment="1">
      <alignment horizontal="left" vertical="center" wrapText="1"/>
    </xf>
    <xf numFmtId="0" fontId="13" fillId="38" borderId="41" xfId="0" applyFont="1" applyFill="1" applyBorder="1" applyAlignment="1">
      <alignment horizontal="left" vertical="center" wrapText="1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8" borderId="44" xfId="0" applyNumberFormat="1" applyFont="1" applyFill="1" applyBorder="1" applyAlignment="1">
      <alignment horizontal="center" vertical="center" wrapText="1"/>
    </xf>
    <xf numFmtId="0" fontId="13" fillId="38" borderId="43" xfId="0" applyNumberFormat="1" applyFont="1" applyFill="1" applyBorder="1" applyAlignment="1">
      <alignment horizontal="center" vertical="center" wrapText="1"/>
    </xf>
    <xf numFmtId="0" fontId="13" fillId="41" borderId="41" xfId="0" applyFont="1" applyFill="1" applyBorder="1" applyAlignment="1">
      <alignment horizontal="justify" vertical="center" wrapText="1"/>
    </xf>
    <xf numFmtId="0" fontId="13" fillId="41" borderId="42" xfId="0" applyFont="1" applyFill="1" applyBorder="1" applyAlignment="1">
      <alignment horizontal="justify" vertical="center" wrapText="1"/>
    </xf>
    <xf numFmtId="0" fontId="13" fillId="41" borderId="43" xfId="0" applyFont="1" applyFill="1" applyBorder="1" applyAlignment="1">
      <alignment horizontal="justify" vertical="center" wrapText="1"/>
    </xf>
    <xf numFmtId="0" fontId="14" fillId="0" borderId="41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43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0" fontId="13" fillId="37" borderId="41" xfId="0" applyFont="1" applyFill="1" applyBorder="1" applyAlignment="1">
      <alignment horizontal="left" vertical="top" wrapText="1"/>
    </xf>
    <xf numFmtId="0" fontId="13" fillId="37" borderId="42" xfId="0" applyFont="1" applyFill="1" applyBorder="1" applyAlignment="1">
      <alignment horizontal="left" vertical="top" wrapText="1"/>
    </xf>
    <xf numFmtId="0" fontId="13" fillId="37" borderId="43" xfId="0" applyFont="1" applyFill="1" applyBorder="1" applyAlignment="1">
      <alignment horizontal="left" vertical="top" wrapText="1"/>
    </xf>
    <xf numFmtId="0" fontId="79" fillId="28" borderId="25" xfId="0" applyFont="1" applyFill="1" applyBorder="1" applyAlignment="1">
      <alignment horizontal="left" vertical="top"/>
    </xf>
    <xf numFmtId="0" fontId="79" fillId="28" borderId="29" xfId="0" applyFont="1" applyFill="1" applyBorder="1" applyAlignment="1">
      <alignment horizontal="left" vertical="top"/>
    </xf>
    <xf numFmtId="0" fontId="79" fillId="28" borderId="19" xfId="0" applyFont="1" applyFill="1" applyBorder="1" applyAlignment="1">
      <alignment horizontal="left" vertical="top"/>
    </xf>
    <xf numFmtId="0" fontId="70" fillId="0" borderId="25" xfId="0" applyFont="1" applyBorder="1" applyAlignment="1">
      <alignment horizontal="left"/>
    </xf>
    <xf numFmtId="0" fontId="70" fillId="0" borderId="29" xfId="0" applyFont="1" applyBorder="1" applyAlignment="1">
      <alignment horizontal="left"/>
    </xf>
    <xf numFmtId="0" fontId="70" fillId="0" borderId="19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70" fillId="0" borderId="25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84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85" fillId="0" borderId="0" xfId="0" applyFont="1" applyAlignment="1">
      <alignment horizontal="center"/>
    </xf>
    <xf numFmtId="0" fontId="84" fillId="0" borderId="0" xfId="0" applyFont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CÁLCULO DO BDI 2" xfId="51"/>
    <cellStyle name="Nota" xfId="52"/>
    <cellStyle name="Percent" xfId="53"/>
    <cellStyle name="Saída" xfId="54"/>
    <cellStyle name="Comma" xfId="55"/>
    <cellStyle name="Comma [0]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2</xdr:row>
      <xdr:rowOff>47625</xdr:rowOff>
    </xdr:from>
    <xdr:ext cx="381000" cy="257175"/>
    <xdr:sp fLocksText="0">
      <xdr:nvSpPr>
        <xdr:cNvPr id="1" name="CaixaDeTexto 2"/>
        <xdr:cNvSpPr txBox="1">
          <a:spLocks noChangeArrowheads="1"/>
        </xdr:cNvSpPr>
      </xdr:nvSpPr>
      <xdr:spPr>
        <a:xfrm>
          <a:off x="9944100" y="685800"/>
          <a:ext cx="381000" cy="257175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104775</xdr:colOff>
      <xdr:row>2</xdr:row>
      <xdr:rowOff>47625</xdr:rowOff>
    </xdr:from>
    <xdr:ext cx="371475" cy="257175"/>
    <xdr:sp fLocksText="0">
      <xdr:nvSpPr>
        <xdr:cNvPr id="2" name="CaixaDeTexto 3"/>
        <xdr:cNvSpPr txBox="1">
          <a:spLocks noChangeArrowheads="1"/>
        </xdr:cNvSpPr>
      </xdr:nvSpPr>
      <xdr:spPr>
        <a:xfrm>
          <a:off x="9353550" y="685800"/>
          <a:ext cx="371475" cy="257175"/>
        </a:xfrm>
        <a:prstGeom prst="rect">
          <a:avLst/>
        </a:prstGeom>
        <a:solidFill>
          <a:srgbClr val="93C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2</xdr:row>
      <xdr:rowOff>47625</xdr:rowOff>
    </xdr:from>
    <xdr:ext cx="381000" cy="257175"/>
    <xdr:sp fLocksText="0">
      <xdr:nvSpPr>
        <xdr:cNvPr id="1" name="CaixaDeTexto 1"/>
        <xdr:cNvSpPr txBox="1">
          <a:spLocks noChangeArrowheads="1"/>
        </xdr:cNvSpPr>
      </xdr:nvSpPr>
      <xdr:spPr>
        <a:xfrm>
          <a:off x="10706100" y="542925"/>
          <a:ext cx="381000" cy="257175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714375</xdr:colOff>
      <xdr:row>3</xdr:row>
      <xdr:rowOff>47625</xdr:rowOff>
    </xdr:from>
    <xdr:ext cx="371475" cy="257175"/>
    <xdr:sp fLocksText="0">
      <xdr:nvSpPr>
        <xdr:cNvPr id="2" name="CaixaDeTexto 2"/>
        <xdr:cNvSpPr txBox="1">
          <a:spLocks noChangeArrowheads="1"/>
        </xdr:cNvSpPr>
      </xdr:nvSpPr>
      <xdr:spPr>
        <a:xfrm>
          <a:off x="10725150" y="895350"/>
          <a:ext cx="371475" cy="257175"/>
        </a:xfrm>
        <a:prstGeom prst="rect">
          <a:avLst/>
        </a:prstGeom>
        <a:solidFill>
          <a:srgbClr val="93C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17</xdr:row>
      <xdr:rowOff>9525</xdr:rowOff>
    </xdr:from>
    <xdr:to>
      <xdr:col>5</xdr:col>
      <xdr:colOff>1076325</xdr:colOff>
      <xdr:row>22</xdr:row>
      <xdr:rowOff>200025</xdr:rowOff>
    </xdr:to>
    <xdr:pic>
      <xdr:nvPicPr>
        <xdr:cNvPr id="1" name="Picture 1024" descr="http://construcaomercado.pini.com.br/negocios-incorporacao-construcao/95/imagens/i11895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638550"/>
          <a:ext cx="5105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238125</xdr:colOff>
      <xdr:row>0</xdr:row>
      <xdr:rowOff>47625</xdr:rowOff>
    </xdr:from>
    <xdr:to>
      <xdr:col>4</xdr:col>
      <xdr:colOff>257175</xdr:colOff>
      <xdr:row>0</xdr:row>
      <xdr:rowOff>47625</xdr:rowOff>
    </xdr:to>
    <xdr:sp>
      <xdr:nvSpPr>
        <xdr:cNvPr id="1" name="Rectangle 24"/>
        <xdr:cNvSpPr>
          <a:spLocks/>
        </xdr:cNvSpPr>
      </xdr:nvSpPr>
      <xdr:spPr>
        <a:xfrm>
          <a:off x="5962650" y="47625"/>
          <a:ext cx="136207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0</xdr:row>
      <xdr:rowOff>47625</xdr:rowOff>
    </xdr:from>
    <xdr:to>
      <xdr:col>4</xdr:col>
      <xdr:colOff>257175</xdr:colOff>
      <xdr:row>0</xdr:row>
      <xdr:rowOff>47625</xdr:rowOff>
    </xdr:to>
    <xdr:sp>
      <xdr:nvSpPr>
        <xdr:cNvPr id="2" name="Rectangle 24"/>
        <xdr:cNvSpPr>
          <a:spLocks/>
        </xdr:cNvSpPr>
      </xdr:nvSpPr>
      <xdr:spPr>
        <a:xfrm flipV="1">
          <a:off x="5962650" y="47625"/>
          <a:ext cx="136207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0</xdr:row>
      <xdr:rowOff>47625</xdr:rowOff>
    </xdr:from>
    <xdr:to>
      <xdr:col>11</xdr:col>
      <xdr:colOff>514350</xdr:colOff>
      <xdr:row>0</xdr:row>
      <xdr:rowOff>47625</xdr:rowOff>
    </xdr:to>
    <xdr:sp>
      <xdr:nvSpPr>
        <xdr:cNvPr id="3" name="Rectangle 24"/>
        <xdr:cNvSpPr>
          <a:spLocks/>
        </xdr:cNvSpPr>
      </xdr:nvSpPr>
      <xdr:spPr>
        <a:xfrm>
          <a:off x="8848725" y="47625"/>
          <a:ext cx="51435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0</xdr:row>
      <xdr:rowOff>47625</xdr:rowOff>
    </xdr:from>
    <xdr:to>
      <xdr:col>6</xdr:col>
      <xdr:colOff>266700</xdr:colOff>
      <xdr:row>0</xdr:row>
      <xdr:rowOff>47625</xdr:rowOff>
    </xdr:to>
    <xdr:sp>
      <xdr:nvSpPr>
        <xdr:cNvPr id="4" name="Rectangle 24"/>
        <xdr:cNvSpPr>
          <a:spLocks/>
        </xdr:cNvSpPr>
      </xdr:nvSpPr>
      <xdr:spPr>
        <a:xfrm>
          <a:off x="8867775" y="47625"/>
          <a:ext cx="18288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5</xdr:col>
      <xdr:colOff>428625</xdr:colOff>
      <xdr:row>0</xdr:row>
      <xdr:rowOff>47625</xdr:rowOff>
    </xdr:to>
    <xdr:sp>
      <xdr:nvSpPr>
        <xdr:cNvPr id="5" name="Rectangle 24"/>
        <xdr:cNvSpPr>
          <a:spLocks/>
        </xdr:cNvSpPr>
      </xdr:nvSpPr>
      <xdr:spPr>
        <a:xfrm>
          <a:off x="7324725" y="47625"/>
          <a:ext cx="154305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76200</xdr:colOff>
      <xdr:row>0</xdr:row>
      <xdr:rowOff>47625</xdr:rowOff>
    </xdr:from>
    <xdr:to>
      <xdr:col>14</xdr:col>
      <xdr:colOff>428625</xdr:colOff>
      <xdr:row>0</xdr:row>
      <xdr:rowOff>47625</xdr:rowOff>
    </xdr:to>
    <xdr:sp>
      <xdr:nvSpPr>
        <xdr:cNvPr id="6" name="Rectangle 24"/>
        <xdr:cNvSpPr>
          <a:spLocks/>
        </xdr:cNvSpPr>
      </xdr:nvSpPr>
      <xdr:spPr>
        <a:xfrm>
          <a:off x="12334875" y="47625"/>
          <a:ext cx="340042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0</xdr:row>
      <xdr:rowOff>47625</xdr:rowOff>
    </xdr:from>
    <xdr:to>
      <xdr:col>5</xdr:col>
      <xdr:colOff>428625</xdr:colOff>
      <xdr:row>0</xdr:row>
      <xdr:rowOff>47625</xdr:rowOff>
    </xdr:to>
    <xdr:sp>
      <xdr:nvSpPr>
        <xdr:cNvPr id="7" name="Rectangle 24"/>
        <xdr:cNvSpPr>
          <a:spLocks/>
        </xdr:cNvSpPr>
      </xdr:nvSpPr>
      <xdr:spPr>
        <a:xfrm>
          <a:off x="5962650" y="47625"/>
          <a:ext cx="290512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0</xdr:row>
      <xdr:rowOff>47625</xdr:rowOff>
    </xdr:from>
    <xdr:to>
      <xdr:col>5</xdr:col>
      <xdr:colOff>428625</xdr:colOff>
      <xdr:row>0</xdr:row>
      <xdr:rowOff>47625</xdr:rowOff>
    </xdr:to>
    <xdr:sp>
      <xdr:nvSpPr>
        <xdr:cNvPr id="8" name="Rectangle 24"/>
        <xdr:cNvSpPr>
          <a:spLocks/>
        </xdr:cNvSpPr>
      </xdr:nvSpPr>
      <xdr:spPr>
        <a:xfrm>
          <a:off x="5962650" y="47625"/>
          <a:ext cx="290512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0</xdr:row>
      <xdr:rowOff>47625</xdr:rowOff>
    </xdr:from>
    <xdr:to>
      <xdr:col>5</xdr:col>
      <xdr:colOff>428625</xdr:colOff>
      <xdr:row>0</xdr:row>
      <xdr:rowOff>47625</xdr:rowOff>
    </xdr:to>
    <xdr:sp>
      <xdr:nvSpPr>
        <xdr:cNvPr id="9" name="Rectangle 24"/>
        <xdr:cNvSpPr>
          <a:spLocks/>
        </xdr:cNvSpPr>
      </xdr:nvSpPr>
      <xdr:spPr>
        <a:xfrm>
          <a:off x="5962650" y="47625"/>
          <a:ext cx="290512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6</xdr:col>
      <xdr:colOff>247650</xdr:colOff>
      <xdr:row>0</xdr:row>
      <xdr:rowOff>47625</xdr:rowOff>
    </xdr:to>
    <xdr:sp>
      <xdr:nvSpPr>
        <xdr:cNvPr id="10" name="Rectangle 24"/>
        <xdr:cNvSpPr>
          <a:spLocks/>
        </xdr:cNvSpPr>
      </xdr:nvSpPr>
      <xdr:spPr>
        <a:xfrm>
          <a:off x="7324725" y="47625"/>
          <a:ext cx="33528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5</xdr:col>
      <xdr:colOff>428625</xdr:colOff>
      <xdr:row>0</xdr:row>
      <xdr:rowOff>47625</xdr:rowOff>
    </xdr:to>
    <xdr:sp>
      <xdr:nvSpPr>
        <xdr:cNvPr id="11" name="Rectangle 24"/>
        <xdr:cNvSpPr>
          <a:spLocks/>
        </xdr:cNvSpPr>
      </xdr:nvSpPr>
      <xdr:spPr>
        <a:xfrm>
          <a:off x="7324725" y="47625"/>
          <a:ext cx="154305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0</xdr:row>
      <xdr:rowOff>47625</xdr:rowOff>
    </xdr:from>
    <xdr:to>
      <xdr:col>9</xdr:col>
      <xdr:colOff>19050</xdr:colOff>
      <xdr:row>0</xdr:row>
      <xdr:rowOff>47625</xdr:rowOff>
    </xdr:to>
    <xdr:sp>
      <xdr:nvSpPr>
        <xdr:cNvPr id="12" name="Rectangle 24"/>
        <xdr:cNvSpPr>
          <a:spLocks/>
        </xdr:cNvSpPr>
      </xdr:nvSpPr>
      <xdr:spPr>
        <a:xfrm>
          <a:off x="8848725" y="47625"/>
          <a:ext cx="34290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28575</xdr:rowOff>
    </xdr:from>
    <xdr:to>
      <xdr:col>8</xdr:col>
      <xdr:colOff>581025</xdr:colOff>
      <xdr:row>0</xdr:row>
      <xdr:rowOff>28575</xdr:rowOff>
    </xdr:to>
    <xdr:sp>
      <xdr:nvSpPr>
        <xdr:cNvPr id="13" name="Rectangle 24"/>
        <xdr:cNvSpPr>
          <a:spLocks/>
        </xdr:cNvSpPr>
      </xdr:nvSpPr>
      <xdr:spPr>
        <a:xfrm flipV="1">
          <a:off x="7324725" y="28575"/>
          <a:ext cx="490537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0</xdr:row>
      <xdr:rowOff>47625</xdr:rowOff>
    </xdr:from>
    <xdr:to>
      <xdr:col>6</xdr:col>
      <xdr:colOff>247650</xdr:colOff>
      <xdr:row>0</xdr:row>
      <xdr:rowOff>47625</xdr:rowOff>
    </xdr:to>
    <xdr:sp>
      <xdr:nvSpPr>
        <xdr:cNvPr id="14" name="Rectangle 24"/>
        <xdr:cNvSpPr>
          <a:spLocks/>
        </xdr:cNvSpPr>
      </xdr:nvSpPr>
      <xdr:spPr>
        <a:xfrm flipV="1">
          <a:off x="8886825" y="47625"/>
          <a:ext cx="17907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0</xdr:row>
      <xdr:rowOff>47625</xdr:rowOff>
    </xdr:from>
    <xdr:to>
      <xdr:col>8</xdr:col>
      <xdr:colOff>542925</xdr:colOff>
      <xdr:row>0</xdr:row>
      <xdr:rowOff>47625</xdr:rowOff>
    </xdr:to>
    <xdr:sp>
      <xdr:nvSpPr>
        <xdr:cNvPr id="15" name="Rectangle 24"/>
        <xdr:cNvSpPr>
          <a:spLocks/>
        </xdr:cNvSpPr>
      </xdr:nvSpPr>
      <xdr:spPr>
        <a:xfrm flipV="1">
          <a:off x="8848725" y="47625"/>
          <a:ext cx="334327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438150</xdr:colOff>
      <xdr:row>0</xdr:row>
      <xdr:rowOff>47625</xdr:rowOff>
    </xdr:from>
    <xdr:to>
      <xdr:col>8</xdr:col>
      <xdr:colOff>581025</xdr:colOff>
      <xdr:row>0</xdr:row>
      <xdr:rowOff>47625</xdr:rowOff>
    </xdr:to>
    <xdr:sp>
      <xdr:nvSpPr>
        <xdr:cNvPr id="16" name="Rectangle 24"/>
        <xdr:cNvSpPr>
          <a:spLocks/>
        </xdr:cNvSpPr>
      </xdr:nvSpPr>
      <xdr:spPr>
        <a:xfrm flipV="1">
          <a:off x="8877300" y="47625"/>
          <a:ext cx="33528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6</xdr:col>
      <xdr:colOff>247650</xdr:colOff>
      <xdr:row>0</xdr:row>
      <xdr:rowOff>47625</xdr:rowOff>
    </xdr:to>
    <xdr:sp>
      <xdr:nvSpPr>
        <xdr:cNvPr id="17" name="Rectangle 24"/>
        <xdr:cNvSpPr>
          <a:spLocks/>
        </xdr:cNvSpPr>
      </xdr:nvSpPr>
      <xdr:spPr>
        <a:xfrm flipV="1">
          <a:off x="7324725" y="47625"/>
          <a:ext cx="33528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0</xdr:row>
      <xdr:rowOff>47625</xdr:rowOff>
    </xdr:from>
    <xdr:to>
      <xdr:col>5</xdr:col>
      <xdr:colOff>447675</xdr:colOff>
      <xdr:row>0</xdr:row>
      <xdr:rowOff>47625</xdr:rowOff>
    </xdr:to>
    <xdr:sp>
      <xdr:nvSpPr>
        <xdr:cNvPr id="18" name="Rectangle 24"/>
        <xdr:cNvSpPr>
          <a:spLocks/>
        </xdr:cNvSpPr>
      </xdr:nvSpPr>
      <xdr:spPr>
        <a:xfrm>
          <a:off x="5962650" y="47625"/>
          <a:ext cx="292417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0</xdr:row>
      <xdr:rowOff>47625</xdr:rowOff>
    </xdr:from>
    <xdr:to>
      <xdr:col>5</xdr:col>
      <xdr:colOff>447675</xdr:colOff>
      <xdr:row>0</xdr:row>
      <xdr:rowOff>47625</xdr:rowOff>
    </xdr:to>
    <xdr:sp>
      <xdr:nvSpPr>
        <xdr:cNvPr id="19" name="Rectangle 24"/>
        <xdr:cNvSpPr>
          <a:spLocks/>
        </xdr:cNvSpPr>
      </xdr:nvSpPr>
      <xdr:spPr>
        <a:xfrm>
          <a:off x="5962650" y="47625"/>
          <a:ext cx="292417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8</xdr:col>
      <xdr:colOff>600075</xdr:colOff>
      <xdr:row>0</xdr:row>
      <xdr:rowOff>47625</xdr:rowOff>
    </xdr:to>
    <xdr:sp>
      <xdr:nvSpPr>
        <xdr:cNvPr id="20" name="Rectangle 24"/>
        <xdr:cNvSpPr>
          <a:spLocks/>
        </xdr:cNvSpPr>
      </xdr:nvSpPr>
      <xdr:spPr>
        <a:xfrm>
          <a:off x="7324725" y="47625"/>
          <a:ext cx="4924425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6</xdr:col>
      <xdr:colOff>190500</xdr:colOff>
      <xdr:row>0</xdr:row>
      <xdr:rowOff>47625</xdr:rowOff>
    </xdr:to>
    <xdr:sp>
      <xdr:nvSpPr>
        <xdr:cNvPr id="21" name="Rectangle 24"/>
        <xdr:cNvSpPr>
          <a:spLocks/>
        </xdr:cNvSpPr>
      </xdr:nvSpPr>
      <xdr:spPr>
        <a:xfrm>
          <a:off x="7324725" y="47625"/>
          <a:ext cx="329565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6</xdr:col>
      <xdr:colOff>209550</xdr:colOff>
      <xdr:row>0</xdr:row>
      <xdr:rowOff>47625</xdr:rowOff>
    </xdr:to>
    <xdr:sp>
      <xdr:nvSpPr>
        <xdr:cNvPr id="22" name="Rectangle 24"/>
        <xdr:cNvSpPr>
          <a:spLocks/>
        </xdr:cNvSpPr>
      </xdr:nvSpPr>
      <xdr:spPr>
        <a:xfrm flipV="1">
          <a:off x="7324725" y="47625"/>
          <a:ext cx="33147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257175</xdr:colOff>
      <xdr:row>0</xdr:row>
      <xdr:rowOff>47625</xdr:rowOff>
    </xdr:from>
    <xdr:to>
      <xdr:col>5</xdr:col>
      <xdr:colOff>466725</xdr:colOff>
      <xdr:row>0</xdr:row>
      <xdr:rowOff>47625</xdr:rowOff>
    </xdr:to>
    <xdr:sp>
      <xdr:nvSpPr>
        <xdr:cNvPr id="23" name="Rectangle 24"/>
        <xdr:cNvSpPr>
          <a:spLocks/>
        </xdr:cNvSpPr>
      </xdr:nvSpPr>
      <xdr:spPr>
        <a:xfrm flipV="1">
          <a:off x="7324725" y="47625"/>
          <a:ext cx="158115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5</xdr:col>
      <xdr:colOff>1790700</xdr:colOff>
      <xdr:row>12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077075" y="2990850"/>
          <a:ext cx="3152775" cy="2286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9525</xdr:rowOff>
    </xdr:to>
    <xdr:sp>
      <xdr:nvSpPr>
        <xdr:cNvPr id="25" name="Rectangle 24"/>
        <xdr:cNvSpPr>
          <a:spLocks/>
        </xdr:cNvSpPr>
      </xdr:nvSpPr>
      <xdr:spPr>
        <a:xfrm>
          <a:off x="7067550" y="2333625"/>
          <a:ext cx="1371600" cy="2095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276225</xdr:rowOff>
    </xdr:from>
    <xdr:to>
      <xdr:col>5</xdr:col>
      <xdr:colOff>9525</xdr:colOff>
      <xdr:row>14</xdr:row>
      <xdr:rowOff>200025</xdr:rowOff>
    </xdr:to>
    <xdr:sp>
      <xdr:nvSpPr>
        <xdr:cNvPr id="26" name="Rectangle 24"/>
        <xdr:cNvSpPr>
          <a:spLocks/>
        </xdr:cNvSpPr>
      </xdr:nvSpPr>
      <xdr:spPr>
        <a:xfrm>
          <a:off x="7067550" y="3676650"/>
          <a:ext cx="1381125" cy="2476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6</xdr:col>
      <xdr:colOff>0</xdr:colOff>
      <xdr:row>19</xdr:row>
      <xdr:rowOff>9525</xdr:rowOff>
    </xdr:to>
    <xdr:sp>
      <xdr:nvSpPr>
        <xdr:cNvPr id="27" name="Rectangle 24"/>
        <xdr:cNvSpPr>
          <a:spLocks/>
        </xdr:cNvSpPr>
      </xdr:nvSpPr>
      <xdr:spPr>
        <a:xfrm>
          <a:off x="7077075" y="4695825"/>
          <a:ext cx="3352800" cy="20002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276225</xdr:rowOff>
    </xdr:from>
    <xdr:to>
      <xdr:col>6</xdr:col>
      <xdr:colOff>0</xdr:colOff>
      <xdr:row>14</xdr:row>
      <xdr:rowOff>200025</xdr:rowOff>
    </xdr:to>
    <xdr:sp>
      <xdr:nvSpPr>
        <xdr:cNvPr id="28" name="Rectangle 24"/>
        <xdr:cNvSpPr>
          <a:spLocks/>
        </xdr:cNvSpPr>
      </xdr:nvSpPr>
      <xdr:spPr>
        <a:xfrm>
          <a:off x="8439150" y="3676650"/>
          <a:ext cx="1990725" cy="2476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1343025</xdr:colOff>
      <xdr:row>14</xdr:row>
      <xdr:rowOff>200025</xdr:rowOff>
    </xdr:from>
    <xdr:to>
      <xdr:col>4</xdr:col>
      <xdr:colOff>1371600</xdr:colOff>
      <xdr:row>15</xdr:row>
      <xdr:rowOff>0</xdr:rowOff>
    </xdr:to>
    <xdr:sp>
      <xdr:nvSpPr>
        <xdr:cNvPr id="29" name="Rectangle 24"/>
        <xdr:cNvSpPr>
          <a:spLocks/>
        </xdr:cNvSpPr>
      </xdr:nvSpPr>
      <xdr:spPr>
        <a:xfrm>
          <a:off x="7067550" y="3924300"/>
          <a:ext cx="13716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1343025</xdr:colOff>
      <xdr:row>20</xdr:row>
      <xdr:rowOff>209550</xdr:rowOff>
    </xdr:from>
    <xdr:to>
      <xdr:col>5</xdr:col>
      <xdr:colOff>1819275</xdr:colOff>
      <xdr:row>21</xdr:row>
      <xdr:rowOff>200025</xdr:rowOff>
    </xdr:to>
    <xdr:sp>
      <xdr:nvSpPr>
        <xdr:cNvPr id="30" name="Rectangle 24"/>
        <xdr:cNvSpPr>
          <a:spLocks/>
        </xdr:cNvSpPr>
      </xdr:nvSpPr>
      <xdr:spPr>
        <a:xfrm>
          <a:off x="7067550" y="5314950"/>
          <a:ext cx="3190875" cy="20002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1343025</xdr:colOff>
      <xdr:row>23</xdr:row>
      <xdr:rowOff>200025</xdr:rowOff>
    </xdr:from>
    <xdr:to>
      <xdr:col>5</xdr:col>
      <xdr:colOff>1819275</xdr:colOff>
      <xdr:row>24</xdr:row>
      <xdr:rowOff>200025</xdr:rowOff>
    </xdr:to>
    <xdr:sp>
      <xdr:nvSpPr>
        <xdr:cNvPr id="31" name="Rectangle 24"/>
        <xdr:cNvSpPr>
          <a:spLocks/>
        </xdr:cNvSpPr>
      </xdr:nvSpPr>
      <xdr:spPr>
        <a:xfrm>
          <a:off x="7067550" y="5915025"/>
          <a:ext cx="3190875" cy="20002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304800</xdr:rowOff>
    </xdr:from>
    <xdr:to>
      <xdr:col>6</xdr:col>
      <xdr:colOff>0</xdr:colOff>
      <xdr:row>16</xdr:row>
      <xdr:rowOff>190500</xdr:rowOff>
    </xdr:to>
    <xdr:sp>
      <xdr:nvSpPr>
        <xdr:cNvPr id="32" name="Rectangle 24"/>
        <xdr:cNvSpPr>
          <a:spLocks/>
        </xdr:cNvSpPr>
      </xdr:nvSpPr>
      <xdr:spPr>
        <a:xfrm>
          <a:off x="7086600" y="4229100"/>
          <a:ext cx="3343275" cy="20002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0</xdr:row>
      <xdr:rowOff>47625</xdr:rowOff>
    </xdr:from>
    <xdr:to>
      <xdr:col>5</xdr:col>
      <xdr:colOff>2076450</xdr:colOff>
      <xdr:row>5</xdr:row>
      <xdr:rowOff>38100</xdr:rowOff>
    </xdr:to>
    <xdr:pic>
      <xdr:nvPicPr>
        <xdr:cNvPr id="1" name="Picture 67" descr="LOGOMARCA A &amp; A COMPA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Q9" sqref="Q9"/>
    </sheetView>
  </sheetViews>
  <sheetFormatPr defaultColWidth="9.140625" defaultRowHeight="15"/>
  <cols>
    <col min="1" max="1" width="13.7109375" style="93" customWidth="1"/>
    <col min="2" max="2" width="15.57421875" style="136" customWidth="1"/>
    <col min="3" max="3" width="66.8515625" style="96" customWidth="1"/>
    <col min="4" max="4" width="8.57421875" style="96" customWidth="1"/>
    <col min="5" max="5" width="12.28125" style="93" customWidth="1"/>
    <col min="6" max="6" width="21.7109375" style="97" customWidth="1"/>
    <col min="7" max="7" width="22.00390625" style="97" customWidth="1"/>
    <col min="8" max="8" width="9.140625" style="88" customWidth="1"/>
    <col min="9" max="9" width="15.57421875" style="2" customWidth="1"/>
    <col min="10" max="10" width="9.00390625" style="2" customWidth="1"/>
    <col min="11" max="16384" width="9.140625" style="2" customWidth="1"/>
  </cols>
  <sheetData>
    <row r="1" spans="1:7" ht="26.25" customHeight="1">
      <c r="A1" s="409" t="s">
        <v>289</v>
      </c>
      <c r="B1" s="409"/>
      <c r="C1" s="409"/>
      <c r="D1" s="409"/>
      <c r="E1" s="409"/>
      <c r="F1" s="409"/>
      <c r="G1" s="409"/>
    </row>
    <row r="2" spans="1:7" ht="24" customHeight="1">
      <c r="A2" s="295"/>
      <c r="B2" s="296"/>
      <c r="C2" s="296"/>
      <c r="D2" s="245"/>
      <c r="E2" s="30"/>
      <c r="F2" s="10"/>
      <c r="G2" s="11"/>
    </row>
    <row r="3" spans="1:8" s="1" customFormat="1" ht="33" customHeight="1">
      <c r="A3" s="301" t="s">
        <v>221</v>
      </c>
      <c r="B3" s="302"/>
      <c r="C3" s="302"/>
      <c r="D3" s="302"/>
      <c r="E3" s="302"/>
      <c r="F3" s="302"/>
      <c r="G3" s="303"/>
      <c r="H3" s="130"/>
    </row>
    <row r="4" spans="1:8" s="1" customFormat="1" ht="48" customHeight="1">
      <c r="A4" s="301" t="s">
        <v>226</v>
      </c>
      <c r="B4" s="302"/>
      <c r="C4" s="302"/>
      <c r="D4" s="302"/>
      <c r="E4" s="302"/>
      <c r="F4" s="302"/>
      <c r="G4" s="303"/>
      <c r="H4" s="130"/>
    </row>
    <row r="5" spans="1:7" ht="10.5" customHeight="1">
      <c r="A5" s="304"/>
      <c r="B5" s="305"/>
      <c r="C5" s="305"/>
      <c r="D5" s="305"/>
      <c r="E5" s="305"/>
      <c r="F5" s="305"/>
      <c r="G5" s="306"/>
    </row>
    <row r="6" spans="1:7" ht="35.25" customHeight="1">
      <c r="A6" s="307" t="s">
        <v>10</v>
      </c>
      <c r="B6" s="307"/>
      <c r="C6" s="307"/>
      <c r="D6" s="307"/>
      <c r="E6" s="307"/>
      <c r="F6" s="307"/>
      <c r="G6" s="307"/>
    </row>
    <row r="7" spans="1:7" ht="27.75" customHeight="1">
      <c r="A7" s="12" t="s">
        <v>11</v>
      </c>
      <c r="B7" s="13" t="s">
        <v>150</v>
      </c>
      <c r="C7" s="138" t="s">
        <v>12</v>
      </c>
      <c r="D7" s="138" t="s">
        <v>13</v>
      </c>
      <c r="E7" s="168" t="s">
        <v>14</v>
      </c>
      <c r="F7" s="138" t="s">
        <v>118</v>
      </c>
      <c r="G7" s="138" t="s">
        <v>168</v>
      </c>
    </row>
    <row r="8" spans="1:7" ht="35.25" customHeight="1">
      <c r="A8" s="193" t="s">
        <v>15</v>
      </c>
      <c r="B8" s="139"/>
      <c r="C8" s="140" t="s">
        <v>16</v>
      </c>
      <c r="D8" s="141"/>
      <c r="E8" s="142"/>
      <c r="F8" s="143"/>
      <c r="G8" s="144"/>
    </row>
    <row r="9" spans="1:9" ht="21.75" customHeight="1">
      <c r="A9" s="143"/>
      <c r="B9" s="143"/>
      <c r="C9" s="270" t="s">
        <v>19</v>
      </c>
      <c r="D9" s="142"/>
      <c r="E9" s="308" t="s">
        <v>172</v>
      </c>
      <c r="F9" s="309" t="s">
        <v>171</v>
      </c>
      <c r="G9" s="142">
        <f>SUM(G11:G13)</f>
        <v>4140.42</v>
      </c>
      <c r="I9" s="195"/>
    </row>
    <row r="10" spans="1:9" ht="19.5" customHeight="1">
      <c r="A10" s="197" t="s">
        <v>11</v>
      </c>
      <c r="B10" s="221"/>
      <c r="C10" s="198" t="s">
        <v>12</v>
      </c>
      <c r="D10" s="198" t="s">
        <v>13</v>
      </c>
      <c r="E10" s="199" t="s">
        <v>14</v>
      </c>
      <c r="F10" s="198" t="s">
        <v>169</v>
      </c>
      <c r="G10" s="198" t="s">
        <v>168</v>
      </c>
      <c r="I10" s="195"/>
    </row>
    <row r="11" spans="1:7" ht="21.75" customHeight="1">
      <c r="A11" s="267" t="s">
        <v>20</v>
      </c>
      <c r="B11" s="268" t="s">
        <v>21</v>
      </c>
      <c r="C11" s="188" t="s">
        <v>148</v>
      </c>
      <c r="D11" s="190" t="s">
        <v>1</v>
      </c>
      <c r="E11" s="33">
        <v>6</v>
      </c>
      <c r="F11" s="19">
        <v>370.97</v>
      </c>
      <c r="G11" s="19">
        <f>E11*F11</f>
        <v>2225.82</v>
      </c>
    </row>
    <row r="12" spans="1:7" ht="31.5" customHeight="1">
      <c r="A12" s="267" t="s">
        <v>22</v>
      </c>
      <c r="B12" s="268" t="s">
        <v>23</v>
      </c>
      <c r="C12" s="189" t="s">
        <v>154</v>
      </c>
      <c r="D12" s="190" t="s">
        <v>1</v>
      </c>
      <c r="E12" s="33">
        <f>3*3</f>
        <v>9</v>
      </c>
      <c r="F12" s="19">
        <v>190.96</v>
      </c>
      <c r="G12" s="19">
        <f>E12*F12</f>
        <v>1718.64</v>
      </c>
    </row>
    <row r="13" spans="1:7" ht="33" customHeight="1">
      <c r="A13" s="267" t="s">
        <v>170</v>
      </c>
      <c r="B13" s="189" t="s">
        <v>240</v>
      </c>
      <c r="C13" s="189" t="s">
        <v>210</v>
      </c>
      <c r="D13" s="190" t="s">
        <v>241</v>
      </c>
      <c r="E13" s="33">
        <f>'MEMORIAL DE CALCULO'!E11:G11</f>
        <v>1</v>
      </c>
      <c r="F13" s="19">
        <f>190.96</f>
        <v>190.96</v>
      </c>
      <c r="G13" s="19">
        <v>195.96</v>
      </c>
    </row>
    <row r="14" spans="1:9" ht="22.5" customHeight="1">
      <c r="A14" s="196" t="s">
        <v>25</v>
      </c>
      <c r="B14" s="187"/>
      <c r="C14" s="270" t="str">
        <f>'MEMORIAL DE CALCULO'!C12</f>
        <v>PINTURA DA FACHADA PRINCIPAL</v>
      </c>
      <c r="D14" s="187"/>
      <c r="E14" s="308" t="s">
        <v>172</v>
      </c>
      <c r="F14" s="309"/>
      <c r="G14" s="142">
        <f>SUM(G15:G26)</f>
        <v>16571.45</v>
      </c>
      <c r="I14" s="195"/>
    </row>
    <row r="15" spans="1:7" ht="30" customHeight="1">
      <c r="A15" s="200" t="s">
        <v>177</v>
      </c>
      <c r="B15" s="190">
        <v>72125</v>
      </c>
      <c r="C15" s="189" t="str">
        <f>'MEMORIAL DE CALCULO'!C13</f>
        <v>Limpeza e lixamento de paredes em pintura látex acrílica</v>
      </c>
      <c r="D15" s="18" t="str">
        <f>'MEMORIAL DE CALCULO'!D13</f>
        <v>m²</v>
      </c>
      <c r="E15" s="265">
        <f>19.35*6.4+22.1*2.5+0.84*2.5+2.15*1.15*2+2.8*9.12+4.98*2.8+2.1*1.9+2.33*3+3*2.28+7.9*1.15+2.1*4.4+7.15*5.9+10.5*1.8</f>
        <v>322.845</v>
      </c>
      <c r="F15" s="265">
        <v>6.06</v>
      </c>
      <c r="G15" s="33">
        <f aca="true" t="shared" si="0" ref="G15:G26">ROUND(E15*F15,2)</f>
        <v>1956.44</v>
      </c>
    </row>
    <row r="16" spans="1:7" ht="34.5" customHeight="1">
      <c r="A16" s="200" t="s">
        <v>178</v>
      </c>
      <c r="B16" s="190" t="s">
        <v>214</v>
      </c>
      <c r="C16" s="189" t="str">
        <f>'MEMORIAL DE CALCULO'!C14</f>
        <v>Emassamento acrílico de paredes para ambiente interno/externo, 02 demãos</v>
      </c>
      <c r="D16" s="18" t="str">
        <f>'MEMORIAL DE CALCULO'!D14</f>
        <v>m²</v>
      </c>
      <c r="E16" s="265">
        <f>19.35*6.4+22.1*2.5+0.84*2.5+2.15*1.15*2+2.8*9.12+4.98*2.8+2.1*1.9+2.33*3+3*2.28+7.9*1.15+2.1*4.4+7.15*5.9+10.5*1.8</f>
        <v>322.845</v>
      </c>
      <c r="F16" s="265">
        <v>14.46</v>
      </c>
      <c r="G16" s="33">
        <f t="shared" si="0"/>
        <v>4668.34</v>
      </c>
    </row>
    <row r="17" spans="1:7" ht="45" customHeight="1">
      <c r="A17" s="200" t="s">
        <v>27</v>
      </c>
      <c r="B17" s="190">
        <v>88428</v>
      </c>
      <c r="C17" s="189" t="str">
        <f>'MEMORIAL DE CALCULO'!C15</f>
        <v>Pintura de Parede externa com tinta látex acrílico semi-brilho em paredes internas, 03 demãos, na cor azul escuridão, tintas  suvinil ou similar E-329</v>
      </c>
      <c r="D17" s="18" t="str">
        <f>'MEMORIAL DE CALCULO'!D15</f>
        <v>m²</v>
      </c>
      <c r="E17" s="265">
        <f>19.35*6.4</f>
        <v>123.84000000000002</v>
      </c>
      <c r="F17" s="265">
        <v>25.57</v>
      </c>
      <c r="G17" s="33">
        <f t="shared" si="0"/>
        <v>3166.59</v>
      </c>
    </row>
    <row r="18" spans="1:9" ht="34.5" customHeight="1">
      <c r="A18" s="200" t="s">
        <v>28</v>
      </c>
      <c r="B18" s="190">
        <v>88428</v>
      </c>
      <c r="C18" s="189" t="str">
        <f>'MEMORIAL DE CALCULO'!C16</f>
        <v>Pintura de Parede externa com tinta látex acrílico semi-brilho, 03 demãos, na cor azul Mineral tinta suvinil ou simila E-329</v>
      </c>
      <c r="D18" s="18" t="str">
        <f>'MEMORIAL DE CALCULO'!D16</f>
        <v>m²</v>
      </c>
      <c r="E18" s="265">
        <v>53.09</v>
      </c>
      <c r="F18" s="265">
        <v>25.57</v>
      </c>
      <c r="G18" s="265">
        <f t="shared" si="0"/>
        <v>1357.51</v>
      </c>
      <c r="I18" s="88"/>
    </row>
    <row r="19" spans="1:9" ht="40.5" customHeight="1">
      <c r="A19" s="200" t="s">
        <v>29</v>
      </c>
      <c r="B19" s="266">
        <v>88488</v>
      </c>
      <c r="C19" s="189" t="str">
        <f>'MEMORIAL DE CALCULO'!C17</f>
        <v>Pintura c/tinta latex acrilica fosco, na cor Branco Neve - Suvinil ou similar, em fundo de laje, 02 demãos  </v>
      </c>
      <c r="D19" s="18" t="str">
        <f>'MEMORIAL DE CALCULO'!D17</f>
        <v>m²</v>
      </c>
      <c r="E19" s="265">
        <v>38.87</v>
      </c>
      <c r="F19" s="265">
        <v>9.67</v>
      </c>
      <c r="G19" s="33">
        <f t="shared" si="0"/>
        <v>375.87</v>
      </c>
      <c r="I19" s="88"/>
    </row>
    <row r="20" spans="1:7" ht="36.75" customHeight="1">
      <c r="A20" s="200" t="s">
        <v>37</v>
      </c>
      <c r="B20" s="201">
        <v>88431</v>
      </c>
      <c r="C20" s="189" t="str">
        <f>'MEMORIAL DE CALCULO'!C18</f>
        <v>Pintura de parede externa com tinta látex acrílico semi-brilho, 02 demãos, na branco neve</v>
      </c>
      <c r="D20" s="18" t="str">
        <f>'MEMORIAL DE CALCULO'!D18</f>
        <v>m²</v>
      </c>
      <c r="E20" s="265">
        <v>156.82</v>
      </c>
      <c r="F20" s="265">
        <v>14.06</v>
      </c>
      <c r="G20" s="33">
        <f t="shared" si="0"/>
        <v>2204.89</v>
      </c>
    </row>
    <row r="21" spans="1:7" ht="23.25" customHeight="1">
      <c r="A21" s="200" t="s">
        <v>38</v>
      </c>
      <c r="B21" s="190" t="s">
        <v>284</v>
      </c>
      <c r="C21" s="189" t="str">
        <f>'MEMORIAL DE CALCULO'!C19</f>
        <v>Limpeza e lixamento de gradil metálico </v>
      </c>
      <c r="D21" s="18" t="str">
        <f>'MEMORIAL DE CALCULO'!D19</f>
        <v>m²</v>
      </c>
      <c r="E21" s="265">
        <f>18.5*1.86*2</f>
        <v>68.82000000000001</v>
      </c>
      <c r="F21" s="265">
        <v>5.9</v>
      </c>
      <c r="G21" s="33">
        <f t="shared" si="0"/>
        <v>406.04</v>
      </c>
    </row>
    <row r="22" spans="1:7" ht="36" customHeight="1">
      <c r="A22" s="200" t="s">
        <v>39</v>
      </c>
      <c r="B22" s="201" t="s">
        <v>242</v>
      </c>
      <c r="C22" s="189" t="str">
        <f>'MEMORIAL DE CALCULO'!C20</f>
        <v>Pintura de Gradil em esmalte sintético na cor azul, 02 demãos, incluindo 01 demão de fundo anti-corrosivo</v>
      </c>
      <c r="D22" s="18" t="str">
        <f>'MEMORIAL DE CALCULO'!D20</f>
        <v>m²</v>
      </c>
      <c r="E22" s="265">
        <f>18.5*1.86*2</f>
        <v>68.82000000000001</v>
      </c>
      <c r="F22" s="265">
        <v>18.12</v>
      </c>
      <c r="G22" s="33">
        <f t="shared" si="0"/>
        <v>1247.02</v>
      </c>
    </row>
    <row r="23" spans="1:7" ht="39.75" customHeight="1">
      <c r="A23" s="200" t="s">
        <v>107</v>
      </c>
      <c r="B23" s="201" t="s">
        <v>35</v>
      </c>
      <c r="C23" s="189" t="str">
        <f>'MEMORIAL DE CALCULO'!C21</f>
        <v>Demarcação com tinta acrílica (02 demãos) para pisos de faixas de estacionamento, na cor amarelo (Estaciomamento frente)</v>
      </c>
      <c r="D23" s="18" t="str">
        <f>'MEMORIAL DE CALCULO'!D21</f>
        <v>m</v>
      </c>
      <c r="E23" s="265">
        <v>15.5</v>
      </c>
      <c r="F23" s="265">
        <v>8.2</v>
      </c>
      <c r="G23" s="33">
        <f t="shared" si="0"/>
        <v>127.1</v>
      </c>
    </row>
    <row r="24" spans="1:7" ht="34.5" customHeight="1">
      <c r="A24" s="200" t="s">
        <v>239</v>
      </c>
      <c r="B24" s="201">
        <v>84665</v>
      </c>
      <c r="C24" s="189" t="str">
        <f>'MEMORIAL DE CALCULO'!C22</f>
        <v>Pintura de Piso cimentado (calçada), na cor cinza, 02 demãos (calçada da frente)</v>
      </c>
      <c r="D24" s="18" t="str">
        <f>'MEMORIAL DE CALCULO'!D22</f>
        <v>m²</v>
      </c>
      <c r="E24" s="265">
        <f>(12.38+11.38+8.58)*1.88+2.35*3.18+0.94*3.15</f>
        <v>71.23320000000001</v>
      </c>
      <c r="F24" s="265">
        <v>10.62</v>
      </c>
      <c r="G24" s="33">
        <f t="shared" si="0"/>
        <v>756.5</v>
      </c>
    </row>
    <row r="25" spans="1:7" ht="36" customHeight="1">
      <c r="A25" s="200" t="s">
        <v>120</v>
      </c>
      <c r="B25" s="201">
        <v>84665</v>
      </c>
      <c r="C25" s="189" t="str">
        <f>'MEMORIAL DE CALCULO'!C23</f>
        <v>Pintura acrílica para sinalização horizontal em piso cimentado (Demarcação de vaga deficiente)</v>
      </c>
      <c r="D25" s="18" t="str">
        <f>'MEMORIAL DE CALCULO'!D23</f>
        <v>m²</v>
      </c>
      <c r="E25" s="265">
        <v>15.04</v>
      </c>
      <c r="F25" s="265">
        <v>15.47</v>
      </c>
      <c r="G25" s="33">
        <f t="shared" si="0"/>
        <v>232.67</v>
      </c>
    </row>
    <row r="26" spans="1:7" ht="39" customHeight="1">
      <c r="A26" s="200" t="s">
        <v>149</v>
      </c>
      <c r="B26" s="201" t="s">
        <v>242</v>
      </c>
      <c r="C26" s="189" t="str">
        <f>'MEMORIAL DE CALCULO'!C24</f>
        <v>Pintura da haste porta bandeira, esmalte sintético na cor branco, 02 demãos, incluindo aplicação de fundo anti-corrosivo zarcão (01 demão)</v>
      </c>
      <c r="D26" s="18" t="str">
        <f>'MEMORIAL DE CALCULO'!D24</f>
        <v>und.</v>
      </c>
      <c r="E26" s="265">
        <v>4</v>
      </c>
      <c r="F26" s="265">
        <v>18.12</v>
      </c>
      <c r="G26" s="33">
        <f t="shared" si="0"/>
        <v>72.48</v>
      </c>
    </row>
    <row r="27" spans="1:7" ht="25.5" customHeight="1">
      <c r="A27" s="249" t="s">
        <v>41</v>
      </c>
      <c r="B27" s="248"/>
      <c r="C27" s="270" t="s">
        <v>219</v>
      </c>
      <c r="D27" s="248"/>
      <c r="E27" s="308" t="s">
        <v>172</v>
      </c>
      <c r="F27" s="309"/>
      <c r="G27" s="149">
        <f>SUM(G28:G31)</f>
        <v>1243.26</v>
      </c>
    </row>
    <row r="28" spans="1:8" s="160" customFormat="1" ht="30.75" customHeight="1">
      <c r="A28" s="200" t="s">
        <v>42</v>
      </c>
      <c r="B28" s="201">
        <f>B15</f>
        <v>72125</v>
      </c>
      <c r="C28" s="189" t="str">
        <f>C15</f>
        <v>Limpeza e lixamento de paredes em pintura látex acrílica</v>
      </c>
      <c r="D28" s="152" t="str">
        <f>'MEMORIAL DE CALCULO'!D26</f>
        <v>m²</v>
      </c>
      <c r="E28" s="223">
        <f>'MEMORIAL DE CALCULO'!E26:G26</f>
        <v>55</v>
      </c>
      <c r="F28" s="223">
        <f>F15</f>
        <v>6.06</v>
      </c>
      <c r="G28" s="154">
        <f>ROUND(E28*F28,2)</f>
        <v>333.3</v>
      </c>
      <c r="H28" s="159"/>
    </row>
    <row r="29" spans="1:8" s="160" customFormat="1" ht="30.75" customHeight="1">
      <c r="A29" s="200" t="s">
        <v>43</v>
      </c>
      <c r="B29" s="201">
        <f>B20</f>
        <v>88431</v>
      </c>
      <c r="C29" s="189" t="str">
        <f>'MEMORIAL DE CALCULO'!C27</f>
        <v>Pintura de esquadrias de ferro com tinta esmalte fosco, 02 demãos, incluindo fundo anti-corrosivo zarcão (01 demão)</v>
      </c>
      <c r="D29" s="152" t="str">
        <f>'MEMORIAL DE CALCULO'!D27</f>
        <v>m²</v>
      </c>
      <c r="E29" s="223">
        <f>'MEMORIAL DE CALCULO'!E27:G27</f>
        <v>3.72</v>
      </c>
      <c r="F29" s="223">
        <f>F20</f>
        <v>14.06</v>
      </c>
      <c r="G29" s="154">
        <f>ROUND(E29*F29,2)</f>
        <v>52.3</v>
      </c>
      <c r="H29" s="159"/>
    </row>
    <row r="30" spans="1:8" s="160" customFormat="1" ht="30.75" customHeight="1">
      <c r="A30" s="200" t="s">
        <v>270</v>
      </c>
      <c r="B30" s="201">
        <f>B19</f>
        <v>88488</v>
      </c>
      <c r="C30" s="189" t="str">
        <f>'MEMORIAL DE CALCULO'!C28</f>
        <v>Pintura Acrílica em paredes na cor areia (Guarita), 02 demãos</v>
      </c>
      <c r="D30" s="152" t="str">
        <f>'MEMORIAL DE CALCULO'!D28</f>
        <v>m²</v>
      </c>
      <c r="E30" s="154">
        <f>'MEMORIAL DE CALCULO'!E28:G28</f>
        <v>55</v>
      </c>
      <c r="F30" s="223">
        <v>14.06</v>
      </c>
      <c r="G30" s="154">
        <f>ROUND(E30*F30,2)</f>
        <v>773.3</v>
      </c>
      <c r="H30" s="159"/>
    </row>
    <row r="31" spans="1:7" ht="46.5" customHeight="1">
      <c r="A31" s="200" t="s">
        <v>271</v>
      </c>
      <c r="B31" s="201" t="s">
        <v>242</v>
      </c>
      <c r="C31" s="189" t="str">
        <f>'MEMORIAL DE CALCULO'!C29</f>
        <v>Pintura esmalte sintético da estrutura metálica da "cancela", nas cores preto e amarelo, 02 demãos, incluindo fundo anti-corrosivo zarcão (01 demão)</v>
      </c>
      <c r="D31" s="152" t="str">
        <f>'MEMORIAL DE CALCULO'!D29</f>
        <v>m²</v>
      </c>
      <c r="E31" s="223">
        <f>'MEMORIAL DE CALCULO'!E29:G29</f>
        <v>6</v>
      </c>
      <c r="F31" s="223">
        <f>F20</f>
        <v>14.06</v>
      </c>
      <c r="G31" s="154">
        <f>ROUND(E31*F31,2)</f>
        <v>84.36</v>
      </c>
    </row>
    <row r="32" spans="1:7" ht="31.5" customHeight="1">
      <c r="A32" s="216" t="s">
        <v>46</v>
      </c>
      <c r="B32" s="248"/>
      <c r="C32" s="269" t="s">
        <v>179</v>
      </c>
      <c r="D32" s="248"/>
      <c r="E32" s="308" t="s">
        <v>172</v>
      </c>
      <c r="F32" s="309"/>
      <c r="G32" s="149">
        <f>SUM(G33:G38)</f>
        <v>18624.049999999996</v>
      </c>
    </row>
    <row r="33" spans="1:12" ht="26.25" customHeight="1">
      <c r="A33" s="200" t="s">
        <v>47</v>
      </c>
      <c r="B33" s="201">
        <v>72125</v>
      </c>
      <c r="C33" s="189" t="str">
        <f>'MEMORIAL DE CALCULO'!C38</f>
        <v>Limpeza, lixamento de paredes em pintura látex acrílica</v>
      </c>
      <c r="D33" s="192" t="s">
        <v>1</v>
      </c>
      <c r="E33" s="154">
        <f>E34+E35</f>
        <v>709.6909</v>
      </c>
      <c r="F33" s="237">
        <f>Plan1!F42</f>
        <v>6.06</v>
      </c>
      <c r="G33" s="32">
        <f aca="true" t="shared" si="1" ref="G33:G38">ROUND(E33*F33,2)</f>
        <v>4300.73</v>
      </c>
      <c r="I33" s="236">
        <f>12.81+9.45+13.25*2+13.12+13.12+31.2+20.21+20.21+20.21+20.21+20.21+0.31*45+99.23+55.23*2.83+11.76</f>
        <v>488.4909</v>
      </c>
      <c r="J33" s="314">
        <f>12.81+9.45+13.25*2+13.12+13.12+31.2+20.21+20.21+20.21+20.21+20.21+0.31*45</f>
        <v>221.20000000000002</v>
      </c>
      <c r="K33" s="315"/>
      <c r="L33" s="316"/>
    </row>
    <row r="34" spans="1:7" ht="36.75" customHeight="1">
      <c r="A34" s="200" t="s">
        <v>48</v>
      </c>
      <c r="B34" s="201">
        <v>88428</v>
      </c>
      <c r="C34" s="189" t="str">
        <f>'MEMORIAL DE CALCULO'!C32</f>
        <v>Pintura de Parede externa com tinta látex acrílico semi-brilho, 02 demãos, na cor azul Mineral tinta suvinil ou simila E-329</v>
      </c>
      <c r="D34" s="192" t="s">
        <v>1</v>
      </c>
      <c r="E34" s="238">
        <f>12.81+9.45+13.25*2+13.12+13.12+31.2+20.21+20.21+20.21+20.21+20.21+0.31*45+99.23+55.23*2.83+11.76</f>
        <v>488.4909</v>
      </c>
      <c r="F34" s="237">
        <v>18.8</v>
      </c>
      <c r="G34" s="32">
        <f t="shared" si="1"/>
        <v>9183.63</v>
      </c>
    </row>
    <row r="35" spans="1:7" ht="47.25" customHeight="1">
      <c r="A35" s="200" t="s">
        <v>49</v>
      </c>
      <c r="B35" s="201">
        <v>88428</v>
      </c>
      <c r="C35" s="189" t="str">
        <f>'MEMORIAL DE CALCULO'!C33</f>
        <v>Pintura de Parede externa com tinta látex acrílico semi-brilho em paredes internas, 03 demãos, na cor azul escuridão, tintas  suvinil ou similar E-329</v>
      </c>
      <c r="D35" s="192" t="s">
        <v>1</v>
      </c>
      <c r="E35" s="238">
        <f>12.81+9.45+13.25*2+13.12+13.12+31.2+20.21+20.21+20.21+20.21+20.21+0.31*45</f>
        <v>221.20000000000002</v>
      </c>
      <c r="F35" s="237">
        <v>18.8</v>
      </c>
      <c r="G35" s="32">
        <f t="shared" si="1"/>
        <v>4158.56</v>
      </c>
    </row>
    <row r="36" spans="1:7" ht="33" customHeight="1">
      <c r="A36" s="200" t="s">
        <v>50</v>
      </c>
      <c r="B36" s="201">
        <v>88431</v>
      </c>
      <c r="C36" s="189" t="str">
        <f>'MEMORIAL DE CALCULO'!C34</f>
        <v>Pintura c/tinta latex PVA fosco, na cor Branco Neve - Suvinil ou similar, em fundo de laje, 02 demãos  </v>
      </c>
      <c r="D36" s="192" t="s">
        <v>1</v>
      </c>
      <c r="E36" s="239">
        <f>'MEMORIAL DE CALCULO'!E34</f>
        <v>15.98</v>
      </c>
      <c r="F36" s="237">
        <f>Plan1!F44</f>
        <v>9.67</v>
      </c>
      <c r="G36" s="32">
        <f t="shared" si="1"/>
        <v>154.53</v>
      </c>
    </row>
    <row r="37" spans="1:7" ht="27" customHeight="1">
      <c r="A37" s="200" t="s">
        <v>51</v>
      </c>
      <c r="B37" s="201">
        <f>Plan1!B48</f>
        <v>88431</v>
      </c>
      <c r="C37" s="189" t="str">
        <f>'MEMORIAL DE CALCULO'!C35</f>
        <v>Lixamento e limpeza de grade de proteção em metalon </v>
      </c>
      <c r="D37" s="192" t="s">
        <v>1</v>
      </c>
      <c r="E37" s="233">
        <f>(0.86*3.3)*12+3.42*0.9</f>
        <v>37.134</v>
      </c>
      <c r="F37" s="237">
        <f>Plan1!F48</f>
        <v>8.2</v>
      </c>
      <c r="G37" s="32">
        <f t="shared" si="1"/>
        <v>304.5</v>
      </c>
    </row>
    <row r="38" spans="1:7" ht="34.5" customHeight="1">
      <c r="A38" s="200" t="s">
        <v>52</v>
      </c>
      <c r="B38" s="201">
        <f>Plan1!B47</f>
        <v>88431</v>
      </c>
      <c r="C38" s="189" t="str">
        <f>'MEMORIAL DE CALCULO'!C36</f>
        <v>Pintura de Grade de proteção com tinta esmalte sintética na cor preta, 02 demãos</v>
      </c>
      <c r="D38" s="192" t="s">
        <v>1</v>
      </c>
      <c r="E38" s="233">
        <f>(0.86*3.3)*12+3.42*0.9</f>
        <v>37.134</v>
      </c>
      <c r="F38" s="237">
        <f>Plan1!F47</f>
        <v>14.06</v>
      </c>
      <c r="G38" s="32">
        <f t="shared" si="1"/>
        <v>522.1</v>
      </c>
    </row>
    <row r="39" spans="1:7" ht="31.5" customHeight="1">
      <c r="A39" s="249" t="s">
        <v>180</v>
      </c>
      <c r="B39" s="271"/>
      <c r="C39" s="272" t="s">
        <v>189</v>
      </c>
      <c r="D39" s="271"/>
      <c r="E39" s="310" t="s">
        <v>172</v>
      </c>
      <c r="F39" s="310"/>
      <c r="G39" s="149">
        <f>SUM(G40:G44)</f>
        <v>3502.0899999999997</v>
      </c>
    </row>
    <row r="40" spans="1:7" ht="31.5" customHeight="1">
      <c r="A40" s="200" t="s">
        <v>53</v>
      </c>
      <c r="B40" s="201">
        <f>B33</f>
        <v>72125</v>
      </c>
      <c r="C40" s="189" t="s">
        <v>190</v>
      </c>
      <c r="D40" s="192" t="str">
        <f>'MEMORIAL DE CALCULO'!D38</f>
        <v>m²</v>
      </c>
      <c r="E40" s="33">
        <f>55.3+57.38-3.88-5.9-5.9-2.58</f>
        <v>94.42</v>
      </c>
      <c r="F40" s="229">
        <f>F33</f>
        <v>6.06</v>
      </c>
      <c r="G40" s="228">
        <f>ROUND(E40*F40,2)</f>
        <v>572.19</v>
      </c>
    </row>
    <row r="41" spans="1:7" ht="31.5" customHeight="1">
      <c r="A41" s="200" t="s">
        <v>54</v>
      </c>
      <c r="B41" s="201" t="str">
        <f>B16</f>
        <v>74133/001</v>
      </c>
      <c r="C41" s="189" t="s">
        <v>165</v>
      </c>
      <c r="D41" s="192" t="str">
        <f>'MEMORIAL DE CALCULO'!D39</f>
        <v>m²</v>
      </c>
      <c r="E41" s="33">
        <v>55.3</v>
      </c>
      <c r="F41" s="229">
        <f>F16</f>
        <v>14.46</v>
      </c>
      <c r="G41" s="228">
        <f>ROUND(E41*F41,2)</f>
        <v>799.64</v>
      </c>
    </row>
    <row r="42" spans="1:7" ht="32.25" customHeight="1">
      <c r="A42" s="200" t="s">
        <v>55</v>
      </c>
      <c r="B42" s="201">
        <v>88488</v>
      </c>
      <c r="C42" s="189" t="s">
        <v>175</v>
      </c>
      <c r="D42" s="192" t="str">
        <f>'MEMORIAL DE CALCULO'!D40</f>
        <v>m²</v>
      </c>
      <c r="E42" s="33">
        <f>55.3+57.38-3.88-5.9-5.9-2.58</f>
        <v>94.42</v>
      </c>
      <c r="F42" s="229">
        <v>18.8</v>
      </c>
      <c r="G42" s="228">
        <f>ROUND(E42*F42,2)</f>
        <v>1775.1</v>
      </c>
    </row>
    <row r="43" spans="1:7" ht="31.5" customHeight="1">
      <c r="A43" s="200" t="s">
        <v>272</v>
      </c>
      <c r="B43" s="201">
        <v>88431</v>
      </c>
      <c r="C43" s="189" t="s">
        <v>183</v>
      </c>
      <c r="D43" s="192" t="str">
        <f>'MEMORIAL DE CALCULO'!D41</f>
        <v>m²</v>
      </c>
      <c r="E43" s="228">
        <f>'MEMORIAL DE CALCULO'!E41</f>
        <v>6.75</v>
      </c>
      <c r="F43" s="229">
        <v>9.67</v>
      </c>
      <c r="G43" s="228">
        <f>ROUND(E43*F43,2)</f>
        <v>65.27</v>
      </c>
    </row>
    <row r="44" spans="1:7" ht="37.5" customHeight="1">
      <c r="A44" s="200" t="s">
        <v>273</v>
      </c>
      <c r="B44" s="201" t="s">
        <v>56</v>
      </c>
      <c r="C44" s="189" t="s">
        <v>218</v>
      </c>
      <c r="D44" s="192" t="str">
        <f>'MEMORIAL DE CALCULO'!D42</f>
        <v>m²</v>
      </c>
      <c r="E44" s="32">
        <f>13.61*2</f>
        <v>27.22</v>
      </c>
      <c r="F44" s="237">
        <v>10.65</v>
      </c>
      <c r="G44" s="228">
        <f>ROUND(E44*F44,2)</f>
        <v>289.89</v>
      </c>
    </row>
    <row r="45" spans="1:7" ht="31.5" customHeight="1">
      <c r="A45" s="249" t="s">
        <v>192</v>
      </c>
      <c r="B45" s="271"/>
      <c r="C45" s="272" t="s">
        <v>181</v>
      </c>
      <c r="D45" s="271"/>
      <c r="E45" s="310" t="s">
        <v>172</v>
      </c>
      <c r="F45" s="310"/>
      <c r="G45" s="149">
        <f>SUM(G46:G50)</f>
        <v>6708.08</v>
      </c>
    </row>
    <row r="46" spans="1:7" ht="27.75" customHeight="1">
      <c r="A46" s="200" t="s">
        <v>274</v>
      </c>
      <c r="B46" s="201">
        <f>Plan1!B42</f>
        <v>72125</v>
      </c>
      <c r="C46" s="189" t="s">
        <v>186</v>
      </c>
      <c r="D46" s="190" t="s">
        <v>1</v>
      </c>
      <c r="E46" s="32">
        <f>(5.03+4.9+4.9+5.03+5.37+5.42+5.37+4.9+5.03)*1.27+(22.5*2+18.5*2)*1.5</f>
        <v>181.35649999999998</v>
      </c>
      <c r="F46" s="32">
        <f>Plan1!F42</f>
        <v>6.06</v>
      </c>
      <c r="G46" s="32">
        <f>ROUND(E46*F46,2)</f>
        <v>1099.02</v>
      </c>
    </row>
    <row r="47" spans="1:7" ht="30.75" customHeight="1">
      <c r="A47" s="200" t="s">
        <v>275</v>
      </c>
      <c r="B47" s="201" t="str">
        <f>B16</f>
        <v>74133/001</v>
      </c>
      <c r="C47" s="189" t="s">
        <v>195</v>
      </c>
      <c r="D47" s="190" t="s">
        <v>1</v>
      </c>
      <c r="E47" s="32">
        <f>(22.5*2+18.5*2)*1.5</f>
        <v>123</v>
      </c>
      <c r="F47" s="32">
        <f>F16</f>
        <v>14.46</v>
      </c>
      <c r="G47" s="32">
        <f>ROUND(E47*F47,2)</f>
        <v>1778.58</v>
      </c>
    </row>
    <row r="48" spans="1:7" ht="36" customHeight="1">
      <c r="A48" s="200" t="s">
        <v>276</v>
      </c>
      <c r="B48" s="201">
        <f>B17</f>
        <v>88428</v>
      </c>
      <c r="C48" s="189" t="s">
        <v>245</v>
      </c>
      <c r="D48" s="22" t="s">
        <v>1</v>
      </c>
      <c r="E48" s="32">
        <f>(5.03+4.9+4.9+5.03+5.37+5.42+5.37+4.9+5.03)*1.27+(22.5*2+18.5*2)*1.5</f>
        <v>181.35649999999998</v>
      </c>
      <c r="F48" s="32">
        <f>F34</f>
        <v>18.8</v>
      </c>
      <c r="G48" s="32">
        <f>ROUND(E48*F48,2)</f>
        <v>3409.5</v>
      </c>
    </row>
    <row r="49" spans="1:7" ht="48.75" customHeight="1">
      <c r="A49" s="200" t="s">
        <v>277</v>
      </c>
      <c r="B49" s="201">
        <v>88420</v>
      </c>
      <c r="C49" s="189" t="s">
        <v>199</v>
      </c>
      <c r="D49" s="22" t="s">
        <v>1</v>
      </c>
      <c r="E49" s="32">
        <f>(0.02+0.3+0.05+0.12+0.12+0.3+0.3+0.3+0.33+0.2+0.33)*2.88+(0.35*10)*2.88</f>
        <v>16.9056</v>
      </c>
      <c r="F49" s="32">
        <v>14.22</v>
      </c>
      <c r="G49" s="32">
        <f>ROUND(E49*F49,2)</f>
        <v>240.4</v>
      </c>
    </row>
    <row r="50" spans="1:7" ht="38.25" customHeight="1">
      <c r="A50" s="200" t="s">
        <v>278</v>
      </c>
      <c r="B50" s="201">
        <v>84677</v>
      </c>
      <c r="C50" s="189" t="s">
        <v>202</v>
      </c>
      <c r="D50" s="22" t="s">
        <v>1</v>
      </c>
      <c r="E50" s="32">
        <f>(5.03+4.9+4.9+5.03+5.37+5.42+5.37+4.9+5.03)*0.5</f>
        <v>22.974999999999998</v>
      </c>
      <c r="F50" s="32">
        <v>7.86</v>
      </c>
      <c r="G50" s="32">
        <f>ROUND(E50*F50,2)</f>
        <v>180.58</v>
      </c>
    </row>
    <row r="51" spans="1:7" ht="31.5" customHeight="1">
      <c r="A51" s="249" t="s">
        <v>193</v>
      </c>
      <c r="B51" s="271"/>
      <c r="C51" s="272" t="s">
        <v>40</v>
      </c>
      <c r="D51" s="271"/>
      <c r="E51" s="310" t="s">
        <v>172</v>
      </c>
      <c r="F51" s="310"/>
      <c r="G51" s="149">
        <f>SUM(G52:G55)</f>
        <v>3752.4799999999996</v>
      </c>
    </row>
    <row r="52" spans="1:7" ht="41.25" customHeight="1">
      <c r="A52" s="200" t="s">
        <v>60</v>
      </c>
      <c r="B52" s="201">
        <v>41595</v>
      </c>
      <c r="C52" s="189" t="s">
        <v>143</v>
      </c>
      <c r="D52" s="18" t="s">
        <v>2</v>
      </c>
      <c r="E52" s="32">
        <v>90</v>
      </c>
      <c r="F52" s="19">
        <v>10.62</v>
      </c>
      <c r="G52" s="32">
        <f>ROUND(E52*F52,2)</f>
        <v>955.8</v>
      </c>
    </row>
    <row r="53" spans="1:7" ht="51.75" customHeight="1">
      <c r="A53" s="200" t="s">
        <v>279</v>
      </c>
      <c r="B53" s="201" t="s">
        <v>244</v>
      </c>
      <c r="C53" s="189" t="s">
        <v>203</v>
      </c>
      <c r="D53" s="25" t="s">
        <v>1</v>
      </c>
      <c r="E53" s="117">
        <v>44.53</v>
      </c>
      <c r="F53" s="20">
        <v>18.12</v>
      </c>
      <c r="G53" s="32">
        <f>ROUND(E53*F53,2)</f>
        <v>806.88</v>
      </c>
    </row>
    <row r="54" spans="1:7" ht="54" customHeight="1">
      <c r="A54" s="200" t="s">
        <v>280</v>
      </c>
      <c r="B54" s="201" t="s">
        <v>244</v>
      </c>
      <c r="C54" s="189" t="s">
        <v>204</v>
      </c>
      <c r="D54" s="25" t="s">
        <v>1</v>
      </c>
      <c r="E54" s="117">
        <v>3.22</v>
      </c>
      <c r="F54" s="20">
        <v>18.12</v>
      </c>
      <c r="G54" s="32">
        <f>ROUND(E54*F54,2)</f>
        <v>58.35</v>
      </c>
    </row>
    <row r="55" spans="1:7" ht="42" customHeight="1">
      <c r="A55" s="200" t="s">
        <v>281</v>
      </c>
      <c r="B55" s="201">
        <f>B29</f>
        <v>88431</v>
      </c>
      <c r="C55" s="191" t="s">
        <v>220</v>
      </c>
      <c r="D55" s="22" t="s">
        <v>1</v>
      </c>
      <c r="E55" s="32">
        <f>(5.03+4.9+4.9+5.03+5.37+5.42+5.37+4.9+5.03)*1.27+(22.5*2+18.5*2)*1.5</f>
        <v>181.35649999999998</v>
      </c>
      <c r="F55" s="32">
        <f>F44</f>
        <v>10.65</v>
      </c>
      <c r="G55" s="32">
        <f>ROUND(E55*F55,2)</f>
        <v>1931.45</v>
      </c>
    </row>
    <row r="56" spans="1:7" ht="35.25" customHeight="1">
      <c r="A56" s="200"/>
      <c r="B56" s="121"/>
      <c r="C56" s="311" t="s">
        <v>61</v>
      </c>
      <c r="D56" s="312"/>
      <c r="E56" s="313"/>
      <c r="F56" s="273"/>
      <c r="G56" s="276">
        <f>G9+G14+G27+Plan1!G41+G32+G39+G45+G51</f>
        <v>54541.82999999999</v>
      </c>
    </row>
    <row r="57" spans="1:7" ht="31.5" customHeight="1">
      <c r="A57" s="200"/>
      <c r="B57" s="121"/>
      <c r="C57" s="311" t="s">
        <v>238</v>
      </c>
      <c r="D57" s="312"/>
      <c r="E57" s="313"/>
      <c r="F57" s="275">
        <v>0.2567</v>
      </c>
      <c r="G57" s="276">
        <f>G56*F57</f>
        <v>14000.887760999996</v>
      </c>
    </row>
    <row r="58" spans="1:7" ht="34.5" customHeight="1">
      <c r="A58" s="145"/>
      <c r="B58" s="123"/>
      <c r="C58" s="298" t="s">
        <v>62</v>
      </c>
      <c r="D58" s="299"/>
      <c r="E58" s="300"/>
      <c r="F58" s="274"/>
      <c r="G58" s="276">
        <f>G56+G57</f>
        <v>68542.71776099998</v>
      </c>
    </row>
    <row r="59" spans="1:7" ht="15">
      <c r="A59" s="94"/>
      <c r="B59" s="135"/>
      <c r="C59" s="36"/>
      <c r="D59" s="36"/>
      <c r="E59" s="95"/>
      <c r="F59" s="36"/>
      <c r="G59" s="36"/>
    </row>
    <row r="60" spans="1:7" ht="39.75" customHeight="1">
      <c r="A60" s="94"/>
      <c r="B60" s="135"/>
      <c r="C60" s="36"/>
      <c r="D60" s="36"/>
      <c r="E60" s="95"/>
      <c r="F60" s="36"/>
      <c r="G60" s="230"/>
    </row>
    <row r="61" ht="39.75" customHeight="1">
      <c r="G61" s="169"/>
    </row>
    <row r="62" ht="38.25" customHeight="1">
      <c r="G62" s="240"/>
    </row>
  </sheetData>
  <sheetProtection/>
  <mergeCells count="16">
    <mergeCell ref="E9:F9"/>
    <mergeCell ref="E45:F45"/>
    <mergeCell ref="E51:F51"/>
    <mergeCell ref="J33:L33"/>
    <mergeCell ref="E27:F27"/>
    <mergeCell ref="A1:G1"/>
    <mergeCell ref="C58:E58"/>
    <mergeCell ref="A3:G3"/>
    <mergeCell ref="A4:G4"/>
    <mergeCell ref="A5:G5"/>
    <mergeCell ref="A6:G6"/>
    <mergeCell ref="E32:F32"/>
    <mergeCell ref="E39:F39"/>
    <mergeCell ref="C56:E56"/>
    <mergeCell ref="C57:E57"/>
    <mergeCell ref="E14:F14"/>
  </mergeCells>
  <printOptions horizontalCentered="1"/>
  <pageMargins left="0.49" right="0.3937007874015748" top="0.5905511811023623" bottom="0.5118110236220472" header="0.31496062992125984" footer="0.31496062992125984"/>
  <pageSetup horizontalDpi="600" verticalDpi="600" orientation="portrait" paperSize="9" scale="53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60" zoomScaleNormal="60" zoomScalePageLayoutView="0" workbookViewId="0" topLeftCell="A1">
      <selection activeCell="A1" sqref="A1:G1"/>
    </sheetView>
  </sheetViews>
  <sheetFormatPr defaultColWidth="9.140625" defaultRowHeight="15"/>
  <cols>
    <col min="1" max="1" width="13.7109375" style="93" customWidth="1"/>
    <col min="2" max="2" width="15.00390625" style="136" customWidth="1"/>
    <col min="3" max="3" width="66.8515625" style="96" customWidth="1"/>
    <col min="4" max="4" width="7.421875" style="96" customWidth="1"/>
    <col min="5" max="5" width="11.7109375" style="93" customWidth="1"/>
    <col min="6" max="6" width="35.421875" style="97" customWidth="1"/>
    <col min="7" max="7" width="16.8515625" style="97" customWidth="1"/>
    <col min="8" max="8" width="9.140625" style="88" customWidth="1"/>
    <col min="9" max="16384" width="9.140625" style="2" customWidth="1"/>
  </cols>
  <sheetData>
    <row r="1" spans="1:7" ht="23.25" customHeight="1" thickBot="1">
      <c r="A1" s="404" t="s">
        <v>290</v>
      </c>
      <c r="B1" s="404"/>
      <c r="C1" s="404"/>
      <c r="D1" s="404"/>
      <c r="E1" s="404"/>
      <c r="F1" s="404"/>
      <c r="G1" s="404"/>
    </row>
    <row r="2" spans="1:7" ht="15.75">
      <c r="A2" s="341"/>
      <c r="B2" s="342"/>
      <c r="C2" s="342"/>
      <c r="D2" s="7"/>
      <c r="E2" s="29"/>
      <c r="F2" s="8"/>
      <c r="G2" s="9"/>
    </row>
    <row r="3" spans="1:8" s="1" customFormat="1" ht="27.75" customHeight="1">
      <c r="A3" s="304" t="s">
        <v>147</v>
      </c>
      <c r="B3" s="305"/>
      <c r="C3" s="305"/>
      <c r="D3" s="305"/>
      <c r="E3" s="305"/>
      <c r="F3" s="305"/>
      <c r="G3" s="306"/>
      <c r="H3" s="130"/>
    </row>
    <row r="4" spans="1:8" s="1" customFormat="1" ht="27.75" customHeight="1">
      <c r="A4" s="304" t="s">
        <v>153</v>
      </c>
      <c r="B4" s="305"/>
      <c r="C4" s="305"/>
      <c r="D4" s="305"/>
      <c r="E4" s="305"/>
      <c r="F4" s="305"/>
      <c r="G4" s="306"/>
      <c r="H4" s="130"/>
    </row>
    <row r="5" spans="1:7" ht="14.25" customHeight="1">
      <c r="A5" s="304"/>
      <c r="B5" s="305"/>
      <c r="C5" s="305"/>
      <c r="D5" s="305"/>
      <c r="E5" s="305"/>
      <c r="F5" s="305"/>
      <c r="G5" s="306"/>
    </row>
    <row r="6" spans="1:7" ht="27" customHeight="1">
      <c r="A6" s="333" t="s">
        <v>145</v>
      </c>
      <c r="B6" s="307"/>
      <c r="C6" s="307"/>
      <c r="D6" s="307"/>
      <c r="E6" s="307"/>
      <c r="F6" s="307"/>
      <c r="G6" s="334"/>
    </row>
    <row r="7" spans="1:7" ht="39.75" customHeight="1">
      <c r="A7" s="211" t="s">
        <v>11</v>
      </c>
      <c r="B7" s="13"/>
      <c r="C7" s="138" t="s">
        <v>12</v>
      </c>
      <c r="D7" s="138" t="s">
        <v>13</v>
      </c>
      <c r="E7" s="335" t="s">
        <v>14</v>
      </c>
      <c r="F7" s="336"/>
      <c r="G7" s="337"/>
    </row>
    <row r="8" spans="1:7" ht="26.25" customHeight="1">
      <c r="A8" s="212" t="s">
        <v>15</v>
      </c>
      <c r="B8" s="139">
        <v>1</v>
      </c>
      <c r="C8" s="140" t="s">
        <v>16</v>
      </c>
      <c r="D8" s="141"/>
      <c r="E8" s="142"/>
      <c r="F8" s="143"/>
      <c r="G8" s="213"/>
    </row>
    <row r="9" spans="1:7" ht="28.5" customHeight="1">
      <c r="A9" s="214" t="s">
        <v>17</v>
      </c>
      <c r="B9" s="18" t="s">
        <v>17</v>
      </c>
      <c r="C9" s="188" t="s">
        <v>148</v>
      </c>
      <c r="D9" s="18" t="s">
        <v>1</v>
      </c>
      <c r="E9" s="338" t="s">
        <v>160</v>
      </c>
      <c r="F9" s="339"/>
      <c r="G9" s="340"/>
    </row>
    <row r="10" spans="1:7" ht="38.25" customHeight="1">
      <c r="A10" s="214" t="s">
        <v>18</v>
      </c>
      <c r="B10" s="18" t="s">
        <v>18</v>
      </c>
      <c r="C10" s="189" t="s">
        <v>154</v>
      </c>
      <c r="D10" s="18" t="s">
        <v>1</v>
      </c>
      <c r="E10" s="338" t="s">
        <v>159</v>
      </c>
      <c r="F10" s="339">
        <v>190.96</v>
      </c>
      <c r="G10" s="340"/>
    </row>
    <row r="11" spans="1:9" s="88" customFormat="1" ht="33" customHeight="1">
      <c r="A11" s="214" t="s">
        <v>158</v>
      </c>
      <c r="B11" s="18" t="s">
        <v>158</v>
      </c>
      <c r="C11" s="189" t="s">
        <v>155</v>
      </c>
      <c r="D11" s="18" t="s">
        <v>161</v>
      </c>
      <c r="E11" s="338">
        <v>1</v>
      </c>
      <c r="F11" s="339">
        <v>190.96</v>
      </c>
      <c r="G11" s="340"/>
      <c r="I11" s="2"/>
    </row>
    <row r="12" spans="1:9" s="88" customFormat="1" ht="27" customHeight="1">
      <c r="A12" s="212" t="s">
        <v>25</v>
      </c>
      <c r="B12" s="139">
        <v>2</v>
      </c>
      <c r="C12" s="142" t="s">
        <v>215</v>
      </c>
      <c r="D12" s="141"/>
      <c r="E12" s="142"/>
      <c r="F12" s="146"/>
      <c r="G12" s="213"/>
      <c r="I12" s="2"/>
    </row>
    <row r="13" spans="1:9" s="88" customFormat="1" ht="61.5" customHeight="1">
      <c r="A13" s="215" t="s">
        <v>177</v>
      </c>
      <c r="B13" s="200" t="s">
        <v>177</v>
      </c>
      <c r="C13" s="191" t="s">
        <v>186</v>
      </c>
      <c r="D13" s="201" t="s">
        <v>1</v>
      </c>
      <c r="E13" s="327" t="s">
        <v>156</v>
      </c>
      <c r="F13" s="328"/>
      <c r="G13" s="329"/>
      <c r="I13" s="2"/>
    </row>
    <row r="14" spans="1:9" s="88" customFormat="1" ht="56.25" customHeight="1">
      <c r="A14" s="215" t="s">
        <v>27</v>
      </c>
      <c r="B14" s="200" t="s">
        <v>178</v>
      </c>
      <c r="C14" s="191" t="s">
        <v>165</v>
      </c>
      <c r="D14" s="201" t="s">
        <v>1</v>
      </c>
      <c r="E14" s="327" t="s">
        <v>156</v>
      </c>
      <c r="F14" s="328"/>
      <c r="G14" s="329"/>
      <c r="I14" s="2"/>
    </row>
    <row r="15" spans="1:9" s="88" customFormat="1" ht="57.75" customHeight="1">
      <c r="A15" s="215" t="s">
        <v>28</v>
      </c>
      <c r="B15" s="200" t="s">
        <v>27</v>
      </c>
      <c r="C15" s="189" t="s">
        <v>208</v>
      </c>
      <c r="D15" s="201" t="s">
        <v>1</v>
      </c>
      <c r="E15" s="327" t="s">
        <v>166</v>
      </c>
      <c r="F15" s="328"/>
      <c r="G15" s="329"/>
      <c r="I15" s="2"/>
    </row>
    <row r="16" spans="1:9" s="88" customFormat="1" ht="45" customHeight="1">
      <c r="A16" s="215" t="s">
        <v>29</v>
      </c>
      <c r="B16" s="200" t="s">
        <v>28</v>
      </c>
      <c r="C16" s="189" t="s">
        <v>209</v>
      </c>
      <c r="D16" s="201" t="s">
        <v>1</v>
      </c>
      <c r="E16" s="327" t="s">
        <v>224</v>
      </c>
      <c r="F16" s="328"/>
      <c r="G16" s="329"/>
      <c r="I16" s="2"/>
    </row>
    <row r="17" spans="1:7" ht="45" customHeight="1">
      <c r="A17" s="215" t="s">
        <v>37</v>
      </c>
      <c r="B17" s="200" t="s">
        <v>29</v>
      </c>
      <c r="C17" s="189" t="s">
        <v>288</v>
      </c>
      <c r="D17" s="201" t="s">
        <v>1</v>
      </c>
      <c r="E17" s="324" t="s">
        <v>225</v>
      </c>
      <c r="F17" s="325"/>
      <c r="G17" s="326"/>
    </row>
    <row r="18" spans="1:7" ht="41.25" customHeight="1">
      <c r="A18" s="215" t="s">
        <v>38</v>
      </c>
      <c r="B18" s="200" t="s">
        <v>37</v>
      </c>
      <c r="C18" s="191" t="s">
        <v>174</v>
      </c>
      <c r="D18" s="201" t="s">
        <v>1</v>
      </c>
      <c r="E18" s="327" t="s">
        <v>167</v>
      </c>
      <c r="F18" s="328"/>
      <c r="G18" s="329"/>
    </row>
    <row r="19" spans="1:9" s="88" customFormat="1" ht="27" customHeight="1">
      <c r="A19" s="215"/>
      <c r="B19" s="200" t="s">
        <v>38</v>
      </c>
      <c r="C19" s="189" t="s">
        <v>205</v>
      </c>
      <c r="D19" s="201" t="s">
        <v>1</v>
      </c>
      <c r="E19" s="327" t="s">
        <v>224</v>
      </c>
      <c r="F19" s="328"/>
      <c r="G19" s="329"/>
      <c r="I19" s="2"/>
    </row>
    <row r="20" spans="1:7" ht="42.75" customHeight="1">
      <c r="A20" s="215" t="s">
        <v>39</v>
      </c>
      <c r="B20" s="200" t="s">
        <v>39</v>
      </c>
      <c r="C20" s="189" t="s">
        <v>157</v>
      </c>
      <c r="D20" s="201" t="s">
        <v>1</v>
      </c>
      <c r="E20" s="324" t="s">
        <v>162</v>
      </c>
      <c r="F20" s="325"/>
      <c r="G20" s="326"/>
    </row>
    <row r="21" spans="1:7" ht="47.25" customHeight="1">
      <c r="A21" s="215" t="s">
        <v>107</v>
      </c>
      <c r="B21" s="200" t="s">
        <v>107</v>
      </c>
      <c r="C21" s="191" t="s">
        <v>206</v>
      </c>
      <c r="D21" s="201" t="s">
        <v>2</v>
      </c>
      <c r="E21" s="324" t="s">
        <v>176</v>
      </c>
      <c r="F21" s="325"/>
      <c r="G21" s="326"/>
    </row>
    <row r="22" spans="1:7" ht="42.75" customHeight="1">
      <c r="A22" s="215" t="s">
        <v>120</v>
      </c>
      <c r="B22" s="200" t="s">
        <v>239</v>
      </c>
      <c r="C22" s="191" t="s">
        <v>243</v>
      </c>
      <c r="D22" s="201" t="s">
        <v>1</v>
      </c>
      <c r="E22" s="321" t="s">
        <v>163</v>
      </c>
      <c r="F22" s="322"/>
      <c r="G22" s="323"/>
    </row>
    <row r="23" spans="1:7" ht="36" customHeight="1">
      <c r="A23" s="215" t="s">
        <v>149</v>
      </c>
      <c r="B23" s="200" t="s">
        <v>120</v>
      </c>
      <c r="C23" s="191" t="s">
        <v>207</v>
      </c>
      <c r="D23" s="201" t="s">
        <v>1</v>
      </c>
      <c r="E23" s="321" t="s">
        <v>173</v>
      </c>
      <c r="F23" s="322"/>
      <c r="G23" s="323"/>
    </row>
    <row r="24" spans="1:7" ht="30.75" customHeight="1">
      <c r="A24" s="215" t="s">
        <v>211</v>
      </c>
      <c r="B24" s="200" t="s">
        <v>149</v>
      </c>
      <c r="C24" s="191" t="s">
        <v>134</v>
      </c>
      <c r="D24" s="222" t="s">
        <v>93</v>
      </c>
      <c r="E24" s="321">
        <v>4</v>
      </c>
      <c r="F24" s="322"/>
      <c r="G24" s="323"/>
    </row>
    <row r="25" spans="1:7" ht="27" customHeight="1">
      <c r="A25" s="216" t="s">
        <v>41</v>
      </c>
      <c r="B25" s="139">
        <v>3</v>
      </c>
      <c r="C25" s="203" t="s">
        <v>191</v>
      </c>
      <c r="D25" s="14"/>
      <c r="E25" s="14"/>
      <c r="F25" s="14"/>
      <c r="G25" s="217"/>
    </row>
    <row r="26" spans="1:7" ht="28.5" customHeight="1">
      <c r="A26" s="218" t="s">
        <v>42</v>
      </c>
      <c r="B26" s="222" t="s">
        <v>42</v>
      </c>
      <c r="C26" s="191" t="s">
        <v>213</v>
      </c>
      <c r="D26" s="222" t="s">
        <v>1</v>
      </c>
      <c r="E26" s="314">
        <v>55</v>
      </c>
      <c r="F26" s="315"/>
      <c r="G26" s="320"/>
    </row>
    <row r="27" spans="1:7" ht="42" customHeight="1">
      <c r="A27" s="218" t="s">
        <v>43</v>
      </c>
      <c r="B27" s="222" t="s">
        <v>43</v>
      </c>
      <c r="C27" s="191" t="s">
        <v>212</v>
      </c>
      <c r="D27" s="222" t="s">
        <v>1</v>
      </c>
      <c r="E27" s="314">
        <v>3.72</v>
      </c>
      <c r="F27" s="315"/>
      <c r="G27" s="320"/>
    </row>
    <row r="28" spans="1:7" ht="28.5" customHeight="1">
      <c r="A28" s="218" t="s">
        <v>270</v>
      </c>
      <c r="B28" s="222" t="s">
        <v>270</v>
      </c>
      <c r="C28" s="191" t="s">
        <v>135</v>
      </c>
      <c r="D28" s="222" t="s">
        <v>1</v>
      </c>
      <c r="E28" s="314">
        <v>55</v>
      </c>
      <c r="F28" s="315"/>
      <c r="G28" s="320"/>
    </row>
    <row r="29" spans="1:7" ht="42.75" customHeight="1">
      <c r="A29" s="218" t="s">
        <v>271</v>
      </c>
      <c r="B29" s="222" t="s">
        <v>271</v>
      </c>
      <c r="C29" s="191" t="s">
        <v>139</v>
      </c>
      <c r="D29" s="222" t="s">
        <v>1</v>
      </c>
      <c r="E29" s="314">
        <v>6</v>
      </c>
      <c r="F29" s="315"/>
      <c r="G29" s="320"/>
    </row>
    <row r="30" spans="1:9" s="88" customFormat="1" ht="32.25" customHeight="1">
      <c r="A30" s="216" t="s">
        <v>46</v>
      </c>
      <c r="B30" s="139">
        <v>4</v>
      </c>
      <c r="C30" s="209" t="s">
        <v>179</v>
      </c>
      <c r="D30" s="210"/>
      <c r="E30" s="210"/>
      <c r="F30" s="210"/>
      <c r="G30" s="220"/>
      <c r="I30" s="2"/>
    </row>
    <row r="31" spans="1:9" s="88" customFormat="1" ht="32.25" customHeight="1">
      <c r="A31" s="218" t="s">
        <v>47</v>
      </c>
      <c r="B31" s="155" t="s">
        <v>47</v>
      </c>
      <c r="C31" s="191" t="s">
        <v>190</v>
      </c>
      <c r="D31" s="192" t="s">
        <v>1</v>
      </c>
      <c r="E31" s="314" t="s">
        <v>216</v>
      </c>
      <c r="F31" s="315"/>
      <c r="G31" s="316"/>
      <c r="I31" s="2"/>
    </row>
    <row r="32" spans="1:9" s="88" customFormat="1" ht="36.75" customHeight="1">
      <c r="A32" s="218" t="s">
        <v>48</v>
      </c>
      <c r="B32" s="155" t="s">
        <v>48</v>
      </c>
      <c r="C32" s="189" t="s">
        <v>175</v>
      </c>
      <c r="D32" s="192" t="s">
        <v>1</v>
      </c>
      <c r="E32" s="314" t="s">
        <v>216</v>
      </c>
      <c r="F32" s="315"/>
      <c r="G32" s="316"/>
      <c r="I32" s="2"/>
    </row>
    <row r="33" spans="1:9" s="88" customFormat="1" ht="46.5" customHeight="1">
      <c r="A33" s="218" t="s">
        <v>49</v>
      </c>
      <c r="B33" s="155" t="s">
        <v>49</v>
      </c>
      <c r="C33" s="189" t="s">
        <v>208</v>
      </c>
      <c r="D33" s="192" t="s">
        <v>1</v>
      </c>
      <c r="E33" s="314" t="s">
        <v>194</v>
      </c>
      <c r="F33" s="315"/>
      <c r="G33" s="316"/>
      <c r="I33" s="2"/>
    </row>
    <row r="34" spans="1:9" s="88" customFormat="1" ht="33.75" customHeight="1">
      <c r="A34" s="218" t="s">
        <v>50</v>
      </c>
      <c r="B34" s="155" t="s">
        <v>50</v>
      </c>
      <c r="C34" s="189" t="s">
        <v>164</v>
      </c>
      <c r="D34" s="192" t="s">
        <v>1</v>
      </c>
      <c r="E34" s="205">
        <v>15.98</v>
      </c>
      <c r="F34" s="224"/>
      <c r="G34" s="225"/>
      <c r="I34" s="2"/>
    </row>
    <row r="35" spans="1:9" s="88" customFormat="1" ht="29.25" customHeight="1">
      <c r="A35" s="218" t="s">
        <v>51</v>
      </c>
      <c r="B35" s="155" t="s">
        <v>51</v>
      </c>
      <c r="C35" s="191" t="s">
        <v>222</v>
      </c>
      <c r="D35" s="192" t="s">
        <v>1</v>
      </c>
      <c r="E35" s="226" t="s">
        <v>217</v>
      </c>
      <c r="F35" s="227"/>
      <c r="G35" s="225"/>
      <c r="I35" s="2"/>
    </row>
    <row r="36" spans="1:9" s="88" customFormat="1" ht="39.75" customHeight="1">
      <c r="A36" s="218" t="s">
        <v>52</v>
      </c>
      <c r="B36" s="155" t="s">
        <v>52</v>
      </c>
      <c r="C36" s="191" t="s">
        <v>223</v>
      </c>
      <c r="D36" s="192" t="s">
        <v>1</v>
      </c>
      <c r="E36" s="226" t="s">
        <v>217</v>
      </c>
      <c r="F36" s="224"/>
      <c r="G36" s="225"/>
      <c r="I36" s="2"/>
    </row>
    <row r="37" spans="1:7" ht="30.75" customHeight="1">
      <c r="A37" s="216" t="s">
        <v>180</v>
      </c>
      <c r="B37" s="139">
        <v>5</v>
      </c>
      <c r="C37" s="206" t="s">
        <v>189</v>
      </c>
      <c r="D37" s="207"/>
      <c r="E37" s="207"/>
      <c r="F37" s="207"/>
      <c r="G37" s="219"/>
    </row>
    <row r="38" spans="1:7" ht="26.25" customHeight="1">
      <c r="A38" s="218" t="s">
        <v>53</v>
      </c>
      <c r="B38" s="121" t="s">
        <v>53</v>
      </c>
      <c r="C38" s="191" t="s">
        <v>190</v>
      </c>
      <c r="D38" s="190" t="s">
        <v>1</v>
      </c>
      <c r="E38" s="291" t="s">
        <v>182</v>
      </c>
      <c r="F38" s="231"/>
      <c r="G38" s="232"/>
    </row>
    <row r="39" spans="1:7" ht="45" customHeight="1">
      <c r="A39" s="218" t="s">
        <v>54</v>
      </c>
      <c r="B39" s="121" t="s">
        <v>54</v>
      </c>
      <c r="C39" s="191" t="s">
        <v>165</v>
      </c>
      <c r="D39" s="190" t="s">
        <v>1</v>
      </c>
      <c r="E39" s="291">
        <v>55.3</v>
      </c>
      <c r="F39" s="231"/>
      <c r="G39" s="232"/>
    </row>
    <row r="40" spans="1:7" ht="36" customHeight="1">
      <c r="A40" s="218" t="s">
        <v>55</v>
      </c>
      <c r="B40" s="121" t="s">
        <v>55</v>
      </c>
      <c r="C40" s="189" t="s">
        <v>175</v>
      </c>
      <c r="D40" s="190" t="s">
        <v>1</v>
      </c>
      <c r="E40" s="291" t="s">
        <v>182</v>
      </c>
      <c r="F40" s="231"/>
      <c r="G40" s="232"/>
    </row>
    <row r="41" spans="1:7" ht="37.5" customHeight="1">
      <c r="A41" s="218" t="s">
        <v>272</v>
      </c>
      <c r="B41" s="121" t="s">
        <v>272</v>
      </c>
      <c r="C41" s="189" t="s">
        <v>287</v>
      </c>
      <c r="D41" s="190" t="s">
        <v>1</v>
      </c>
      <c r="E41" s="291">
        <v>6.75</v>
      </c>
      <c r="F41" s="231"/>
      <c r="G41" s="232"/>
    </row>
    <row r="42" spans="1:7" ht="38.25" customHeight="1">
      <c r="A42" s="218" t="s">
        <v>273</v>
      </c>
      <c r="B42" s="121" t="s">
        <v>273</v>
      </c>
      <c r="C42" s="189" t="s">
        <v>184</v>
      </c>
      <c r="D42" s="190" t="s">
        <v>1</v>
      </c>
      <c r="E42" s="243" t="s">
        <v>185</v>
      </c>
      <c r="F42" s="234"/>
      <c r="G42" s="235"/>
    </row>
    <row r="43" spans="1:7" ht="31.5" customHeight="1">
      <c r="A43" s="216" t="s">
        <v>192</v>
      </c>
      <c r="B43" s="277">
        <v>6</v>
      </c>
      <c r="C43" s="209" t="s">
        <v>181</v>
      </c>
      <c r="D43" s="278"/>
      <c r="E43" s="278"/>
      <c r="F43" s="278"/>
      <c r="G43" s="279"/>
    </row>
    <row r="44" spans="1:7" ht="27" customHeight="1">
      <c r="A44" s="218" t="s">
        <v>274</v>
      </c>
      <c r="B44" s="121" t="s">
        <v>274</v>
      </c>
      <c r="C44" s="189" t="s">
        <v>186</v>
      </c>
      <c r="D44" s="190" t="s">
        <v>1</v>
      </c>
      <c r="E44" s="317" t="s">
        <v>197</v>
      </c>
      <c r="F44" s="318"/>
      <c r="G44" s="319"/>
    </row>
    <row r="45" spans="1:7" ht="28.5" customHeight="1">
      <c r="A45" s="218" t="s">
        <v>275</v>
      </c>
      <c r="B45" s="121" t="s">
        <v>275</v>
      </c>
      <c r="C45" s="189" t="s">
        <v>195</v>
      </c>
      <c r="D45" s="190" t="s">
        <v>1</v>
      </c>
      <c r="E45" s="317" t="s">
        <v>196</v>
      </c>
      <c r="F45" s="318"/>
      <c r="G45" s="319"/>
    </row>
    <row r="46" spans="1:7" ht="33.75" customHeight="1">
      <c r="A46" s="218" t="s">
        <v>276</v>
      </c>
      <c r="B46" s="121" t="s">
        <v>276</v>
      </c>
      <c r="C46" s="189" t="s">
        <v>200</v>
      </c>
      <c r="D46" s="22" t="s">
        <v>1</v>
      </c>
      <c r="E46" s="317" t="s">
        <v>197</v>
      </c>
      <c r="F46" s="318"/>
      <c r="G46" s="319"/>
    </row>
    <row r="47" spans="1:9" ht="45.75" customHeight="1">
      <c r="A47" s="218" t="s">
        <v>277</v>
      </c>
      <c r="B47" s="121" t="s">
        <v>277</v>
      </c>
      <c r="C47" s="189" t="s">
        <v>201</v>
      </c>
      <c r="D47" s="22" t="s">
        <v>1</v>
      </c>
      <c r="E47" s="317" t="s">
        <v>196</v>
      </c>
      <c r="F47" s="318"/>
      <c r="G47" s="319"/>
      <c r="I47" s="92"/>
    </row>
    <row r="48" spans="1:9" ht="34.5" customHeight="1">
      <c r="A48" s="218" t="s">
        <v>278</v>
      </c>
      <c r="B48" s="118"/>
      <c r="C48" s="189" t="s">
        <v>202</v>
      </c>
      <c r="D48" s="22" t="s">
        <v>1</v>
      </c>
      <c r="E48" s="317" t="s">
        <v>198</v>
      </c>
      <c r="F48" s="318"/>
      <c r="G48" s="319"/>
      <c r="I48" s="92"/>
    </row>
    <row r="49" spans="1:8" s="92" customFormat="1" ht="30.75" customHeight="1">
      <c r="A49" s="216" t="s">
        <v>193</v>
      </c>
      <c r="B49" s="277">
        <v>7</v>
      </c>
      <c r="C49" s="206" t="s">
        <v>40</v>
      </c>
      <c r="D49" s="207"/>
      <c r="E49" s="207"/>
      <c r="F49" s="208"/>
      <c r="G49" s="217"/>
      <c r="H49" s="131"/>
    </row>
    <row r="50" spans="1:8" s="92" customFormat="1" ht="36.75" customHeight="1">
      <c r="A50" s="218" t="s">
        <v>60</v>
      </c>
      <c r="B50" s="122" t="s">
        <v>60</v>
      </c>
      <c r="C50" s="189" t="s">
        <v>143</v>
      </c>
      <c r="D50" s="190" t="s">
        <v>2</v>
      </c>
      <c r="E50" s="330">
        <v>90</v>
      </c>
      <c r="F50" s="331"/>
      <c r="G50" s="332"/>
      <c r="H50" s="131"/>
    </row>
    <row r="51" spans="1:8" s="92" customFormat="1" ht="46.5" customHeight="1">
      <c r="A51" s="218" t="s">
        <v>279</v>
      </c>
      <c r="B51" s="122" t="s">
        <v>279</v>
      </c>
      <c r="C51" s="189" t="s">
        <v>203</v>
      </c>
      <c r="D51" s="263" t="s">
        <v>1</v>
      </c>
      <c r="E51" s="330">
        <v>44.53</v>
      </c>
      <c r="F51" s="331"/>
      <c r="G51" s="332"/>
      <c r="H51" s="131"/>
    </row>
    <row r="52" spans="1:8" s="92" customFormat="1" ht="46.5" customHeight="1">
      <c r="A52" s="218" t="s">
        <v>280</v>
      </c>
      <c r="B52" s="122" t="s">
        <v>280</v>
      </c>
      <c r="C52" s="189" t="s">
        <v>204</v>
      </c>
      <c r="D52" s="263" t="s">
        <v>1</v>
      </c>
      <c r="E52" s="330">
        <v>3.22</v>
      </c>
      <c r="F52" s="331"/>
      <c r="G52" s="332"/>
      <c r="H52" s="131"/>
    </row>
    <row r="53" spans="1:9" s="92" customFormat="1" ht="39.75" customHeight="1">
      <c r="A53" s="218" t="s">
        <v>282</v>
      </c>
      <c r="B53" s="122" t="s">
        <v>281</v>
      </c>
      <c r="C53" s="189" t="s">
        <v>220</v>
      </c>
      <c r="D53" s="264" t="s">
        <v>1</v>
      </c>
      <c r="E53" s="330">
        <f>(5.03+4.9+4.9+5.03+5.37+5.42+5.37+4.9+5.03)*1.27+(22.5*2+18.5*2)*1.5</f>
        <v>181.35649999999998</v>
      </c>
      <c r="F53" s="331"/>
      <c r="G53" s="332"/>
      <c r="H53" s="131"/>
      <c r="I53" s="2"/>
    </row>
    <row r="54" ht="15">
      <c r="C54" s="36"/>
    </row>
  </sheetData>
  <sheetProtection/>
  <mergeCells count="38">
    <mergeCell ref="A3:G3"/>
    <mergeCell ref="A4:G4"/>
    <mergeCell ref="A5:G5"/>
    <mergeCell ref="A1:G1"/>
    <mergeCell ref="A2:C2"/>
    <mergeCell ref="A6:G6"/>
    <mergeCell ref="E16:G16"/>
    <mergeCell ref="E18:G18"/>
    <mergeCell ref="E19:G19"/>
    <mergeCell ref="E7:G7"/>
    <mergeCell ref="E9:G9"/>
    <mergeCell ref="E10:G10"/>
    <mergeCell ref="E11:G11"/>
    <mergeCell ref="E24:G24"/>
    <mergeCell ref="E26:G26"/>
    <mergeCell ref="E27:G27"/>
    <mergeCell ref="E28:G28"/>
    <mergeCell ref="E53:G53"/>
    <mergeCell ref="E23:G23"/>
    <mergeCell ref="E33:G33"/>
    <mergeCell ref="E50:G50"/>
    <mergeCell ref="E51:G51"/>
    <mergeCell ref="E52:G52"/>
    <mergeCell ref="E22:G22"/>
    <mergeCell ref="E17:G17"/>
    <mergeCell ref="E13:G13"/>
    <mergeCell ref="E14:G14"/>
    <mergeCell ref="E15:G15"/>
    <mergeCell ref="E21:G21"/>
    <mergeCell ref="E20:G20"/>
    <mergeCell ref="E47:G47"/>
    <mergeCell ref="E48:G48"/>
    <mergeCell ref="E29:G29"/>
    <mergeCell ref="E32:G32"/>
    <mergeCell ref="E31:G31"/>
    <mergeCell ref="E44:G44"/>
    <mergeCell ref="E45:G45"/>
    <mergeCell ref="E46:G46"/>
  </mergeCells>
  <printOptions horizontalCentered="1"/>
  <pageMargins left="0.49" right="0.3937007874015748" top="0.5905511811023623" bottom="0.5118110236220472" header="0.31496062992125984" footer="0.31496062992125984"/>
  <pageSetup horizontalDpi="600" verticalDpi="600" orientation="portrait" paperSize="9" scale="53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00390625" style="124" customWidth="1"/>
    <col min="2" max="2" width="14.8515625" style="124" customWidth="1"/>
    <col min="3" max="3" width="24.421875" style="124" customWidth="1"/>
    <col min="4" max="4" width="8.00390625" style="124" customWidth="1"/>
    <col min="5" max="5" width="14.140625" style="124" customWidth="1"/>
    <col min="6" max="6" width="33.00390625" style="124" customWidth="1"/>
    <col min="7" max="8" width="9.140625" style="124" customWidth="1"/>
    <col min="9" max="9" width="28.57421875" style="124" customWidth="1"/>
    <col min="10" max="16384" width="9.140625" style="124" customWidth="1"/>
  </cols>
  <sheetData>
    <row r="1" spans="1:6" ht="15.75">
      <c r="A1" s="405" t="s">
        <v>291</v>
      </c>
      <c r="B1" s="406"/>
      <c r="C1" s="406"/>
      <c r="D1" s="406"/>
      <c r="E1" s="406"/>
      <c r="F1" s="407"/>
    </row>
    <row r="2" spans="1:6" ht="15.75">
      <c r="A2" s="343"/>
      <c r="B2" s="344"/>
      <c r="C2" s="344"/>
      <c r="D2" s="3"/>
      <c r="E2" s="4"/>
      <c r="F2" s="165"/>
    </row>
    <row r="3" spans="1:6" ht="27.75" customHeight="1">
      <c r="A3" s="345" t="s">
        <v>99</v>
      </c>
      <c r="B3" s="346"/>
      <c r="C3" s="346"/>
      <c r="D3" s="346"/>
      <c r="E3" s="346"/>
      <c r="F3" s="347"/>
    </row>
    <row r="4" spans="1:6" ht="15">
      <c r="A4" s="36"/>
      <c r="B4" s="36"/>
      <c r="C4" s="36"/>
      <c r="D4" s="36"/>
      <c r="E4" s="36"/>
      <c r="F4" s="36"/>
    </row>
    <row r="5" spans="1:6" ht="15">
      <c r="A5" s="36"/>
      <c r="B5" s="36"/>
      <c r="C5" s="36"/>
      <c r="D5" s="36"/>
      <c r="E5" s="36"/>
      <c r="F5" s="36"/>
    </row>
    <row r="6" spans="1:6" ht="21" customHeight="1">
      <c r="A6" s="248" t="s">
        <v>87</v>
      </c>
      <c r="B6" s="351" t="s">
        <v>63</v>
      </c>
      <c r="C6" s="351"/>
      <c r="D6" s="351"/>
      <c r="E6" s="351"/>
      <c r="F6" s="248" t="s">
        <v>75</v>
      </c>
    </row>
    <row r="7" spans="1:6" s="244" customFormat="1" ht="15">
      <c r="A7" s="18">
        <v>1</v>
      </c>
      <c r="B7" s="250" t="s">
        <v>230</v>
      </c>
      <c r="C7" s="251"/>
      <c r="D7" s="251"/>
      <c r="E7" s="252"/>
      <c r="F7" s="83">
        <v>0.05</v>
      </c>
    </row>
    <row r="8" spans="1:6" s="244" customFormat="1" ht="15">
      <c r="A8" s="18">
        <v>2</v>
      </c>
      <c r="B8" s="250" t="s">
        <v>231</v>
      </c>
      <c r="C8" s="251"/>
      <c r="D8" s="251"/>
      <c r="E8" s="252"/>
      <c r="F8" s="83">
        <v>0.02</v>
      </c>
    </row>
    <row r="9" spans="1:6" s="244" customFormat="1" ht="15">
      <c r="A9" s="18">
        <v>3</v>
      </c>
      <c r="B9" s="250" t="s">
        <v>232</v>
      </c>
      <c r="C9" s="251"/>
      <c r="D9" s="251"/>
      <c r="E9" s="252"/>
      <c r="F9" s="83">
        <v>0.0135</v>
      </c>
    </row>
    <row r="10" spans="1:6" s="244" customFormat="1" ht="15">
      <c r="A10" s="18">
        <v>4</v>
      </c>
      <c r="B10" s="250" t="s">
        <v>233</v>
      </c>
      <c r="C10" s="251"/>
      <c r="D10" s="251"/>
      <c r="E10" s="252"/>
      <c r="F10" s="83">
        <v>0.0065</v>
      </c>
    </row>
    <row r="11" spans="1:6" s="244" customFormat="1" ht="15">
      <c r="A11" s="18">
        <v>5</v>
      </c>
      <c r="B11" s="352" t="s">
        <v>234</v>
      </c>
      <c r="C11" s="353"/>
      <c r="D11" s="353"/>
      <c r="E11" s="354"/>
      <c r="F11" s="83">
        <v>0.05</v>
      </c>
    </row>
    <row r="12" spans="1:6" s="244" customFormat="1" ht="15">
      <c r="A12" s="18">
        <v>6</v>
      </c>
      <c r="B12" s="250" t="s">
        <v>235</v>
      </c>
      <c r="C12" s="251"/>
      <c r="D12" s="251"/>
      <c r="E12" s="252"/>
      <c r="F12" s="83">
        <v>0.03</v>
      </c>
    </row>
    <row r="13" spans="1:6" s="244" customFormat="1" ht="15">
      <c r="A13" s="18">
        <v>7</v>
      </c>
      <c r="B13" s="250" t="s">
        <v>236</v>
      </c>
      <c r="C13" s="251"/>
      <c r="D13" s="251"/>
      <c r="E13" s="252"/>
      <c r="F13" s="83">
        <v>0.1</v>
      </c>
    </row>
    <row r="14" spans="1:6" s="244" customFormat="1" ht="15">
      <c r="A14" s="10"/>
      <c r="B14" s="245"/>
      <c r="C14" s="245"/>
      <c r="D14" s="245"/>
      <c r="E14" s="245"/>
      <c r="F14" s="10"/>
    </row>
    <row r="15" spans="1:6" s="244" customFormat="1" ht="15">
      <c r="A15" s="10"/>
      <c r="B15" s="349"/>
      <c r="C15" s="349"/>
      <c r="D15" s="10"/>
      <c r="E15" s="10"/>
      <c r="F15" s="10"/>
    </row>
    <row r="16" spans="1:6" s="244" customFormat="1" ht="20.25" customHeight="1">
      <c r="A16" s="348" t="s">
        <v>86</v>
      </c>
      <c r="B16" s="348"/>
      <c r="C16" s="348"/>
      <c r="D16" s="348"/>
      <c r="E16" s="348"/>
      <c r="F16" s="348"/>
    </row>
    <row r="17" spans="1:6" s="244" customFormat="1" ht="20.25" customHeight="1">
      <c r="A17" s="253"/>
      <c r="B17" s="253"/>
      <c r="C17" s="253"/>
      <c r="D17" s="253"/>
      <c r="E17" s="253"/>
      <c r="F17" s="253"/>
    </row>
    <row r="18" spans="1:6" s="244" customFormat="1" ht="20.25" customHeight="1">
      <c r="A18" s="253"/>
      <c r="B18" s="254"/>
      <c r="C18" s="253"/>
      <c r="D18" s="253"/>
      <c r="E18" s="253"/>
      <c r="F18" s="253"/>
    </row>
    <row r="19" spans="1:6" s="244" customFormat="1" ht="20.25" customHeight="1">
      <c r="A19" s="253"/>
      <c r="B19" s="253"/>
      <c r="C19" s="253"/>
      <c r="D19" s="253"/>
      <c r="E19" s="253"/>
      <c r="F19" s="253"/>
    </row>
    <row r="20" spans="1:6" s="244" customFormat="1" ht="20.25" customHeight="1">
      <c r="A20" s="253"/>
      <c r="B20" s="253"/>
      <c r="C20" s="253"/>
      <c r="D20" s="253"/>
      <c r="E20" s="253"/>
      <c r="F20" s="253"/>
    </row>
    <row r="21" spans="1:6" s="244" customFormat="1" ht="20.25" customHeight="1">
      <c r="A21" s="253"/>
      <c r="B21" s="253"/>
      <c r="C21" s="253"/>
      <c r="D21" s="253"/>
      <c r="E21" s="253"/>
      <c r="F21" s="253"/>
    </row>
    <row r="22" spans="1:6" s="244" customFormat="1" ht="20.25" customHeight="1">
      <c r="A22" s="253"/>
      <c r="B22" s="253"/>
      <c r="C22" s="253"/>
      <c r="D22" s="253"/>
      <c r="E22" s="253"/>
      <c r="F22" s="253"/>
    </row>
    <row r="23" spans="1:6" s="244" customFormat="1" ht="20.25" customHeight="1">
      <c r="A23" s="253"/>
      <c r="B23" s="253"/>
      <c r="C23" s="253"/>
      <c r="D23" s="253"/>
      <c r="E23" s="253"/>
      <c r="F23" s="253"/>
    </row>
    <row r="24" spans="2:6" s="244" customFormat="1" ht="20.25" customHeight="1">
      <c r="B24" s="255" t="s">
        <v>237</v>
      </c>
      <c r="C24" s="253"/>
      <c r="D24" s="253"/>
      <c r="E24" s="253"/>
      <c r="F24" s="253"/>
    </row>
    <row r="25" spans="2:6" s="244" customFormat="1" ht="20.25" customHeight="1">
      <c r="B25" s="250" t="s">
        <v>230</v>
      </c>
      <c r="C25" s="256"/>
      <c r="D25" s="257"/>
      <c r="E25" s="83">
        <v>0.08</v>
      </c>
      <c r="F25" s="253"/>
    </row>
    <row r="26" spans="2:6" s="244" customFormat="1" ht="20.25" customHeight="1">
      <c r="B26" s="250" t="s">
        <v>231</v>
      </c>
      <c r="C26" s="256"/>
      <c r="D26" s="257"/>
      <c r="E26" s="83">
        <v>0.025</v>
      </c>
      <c r="F26" s="253"/>
    </row>
    <row r="27" spans="2:6" s="244" customFormat="1" ht="20.25" customHeight="1">
      <c r="B27" s="250" t="s">
        <v>232</v>
      </c>
      <c r="C27" s="256"/>
      <c r="D27" s="257"/>
      <c r="E27" s="83">
        <v>0.015</v>
      </c>
      <c r="F27" s="253"/>
    </row>
    <row r="28" spans="2:6" s="244" customFormat="1" ht="20.25" customHeight="1">
      <c r="B28" s="250" t="s">
        <v>233</v>
      </c>
      <c r="C28" s="258"/>
      <c r="D28" s="259"/>
      <c r="E28" s="83">
        <v>0.0065</v>
      </c>
      <c r="F28" s="260"/>
    </row>
    <row r="29" spans="2:6" s="244" customFormat="1" ht="20.25" customHeight="1">
      <c r="B29" s="250" t="s">
        <v>234</v>
      </c>
      <c r="C29" s="258"/>
      <c r="D29" s="259"/>
      <c r="E29" s="83">
        <v>0.05</v>
      </c>
      <c r="F29" s="260"/>
    </row>
    <row r="30" spans="2:6" s="244" customFormat="1" ht="20.25" customHeight="1">
      <c r="B30" s="250" t="s">
        <v>235</v>
      </c>
      <c r="C30" s="258"/>
      <c r="D30" s="259"/>
      <c r="E30" s="83">
        <v>0.03</v>
      </c>
      <c r="F30" s="260"/>
    </row>
    <row r="31" spans="2:6" s="244" customFormat="1" ht="15" customHeight="1">
      <c r="B31" s="250" t="s">
        <v>236</v>
      </c>
      <c r="C31" s="258"/>
      <c r="D31" s="259"/>
      <c r="E31" s="83">
        <v>0.08</v>
      </c>
      <c r="F31" s="260"/>
    </row>
    <row r="32" spans="1:6" s="244" customFormat="1" ht="15">
      <c r="A32" s="77"/>
      <c r="B32" s="355"/>
      <c r="C32" s="355"/>
      <c r="D32" s="10"/>
      <c r="E32" s="10"/>
      <c r="F32" s="10"/>
    </row>
    <row r="33" spans="1:6" s="244" customFormat="1" ht="15">
      <c r="A33" s="77"/>
      <c r="B33" s="87" t="s">
        <v>90</v>
      </c>
      <c r="C33" s="86"/>
      <c r="D33" s="246"/>
      <c r="E33" s="246"/>
      <c r="F33" s="247"/>
    </row>
    <row r="34" spans="1:6" s="244" customFormat="1" ht="15">
      <c r="A34" s="77"/>
      <c r="B34" s="36"/>
      <c r="C34" s="82"/>
      <c r="D34" s="349"/>
      <c r="E34" s="349"/>
      <c r="F34" s="10"/>
    </row>
    <row r="35" spans="1:6" ht="18.75">
      <c r="A35" s="348" t="s">
        <v>79</v>
      </c>
      <c r="B35" s="348"/>
      <c r="C35" s="348"/>
      <c r="D35" s="348"/>
      <c r="E35" s="348"/>
      <c r="F35" s="348"/>
    </row>
    <row r="36" spans="1:6" ht="15">
      <c r="A36" s="75"/>
      <c r="B36" s="36"/>
      <c r="C36" s="36"/>
      <c r="D36" s="36"/>
      <c r="E36" s="36"/>
      <c r="F36" s="36"/>
    </row>
    <row r="37" spans="1:6" ht="15">
      <c r="A37" s="76"/>
      <c r="B37" s="87" t="s">
        <v>90</v>
      </c>
      <c r="C37" s="261">
        <f>(1+0.06)*(1+0.025)*(1+0.025)*(1+0.08)-1</f>
        <v>0.2027555000000001</v>
      </c>
      <c r="D37" s="246"/>
      <c r="E37" s="246"/>
      <c r="F37" s="247"/>
    </row>
    <row r="38" spans="1:8" ht="15">
      <c r="A38" s="76"/>
      <c r="B38" s="36"/>
      <c r="C38" s="262">
        <f>1-(0.05+0.05+0.03+0.08)</f>
        <v>0.79</v>
      </c>
      <c r="D38" s="349"/>
      <c r="E38" s="349"/>
      <c r="F38" s="10"/>
      <c r="H38" s="137"/>
    </row>
    <row r="39" spans="1:6" ht="15">
      <c r="A39" s="74"/>
      <c r="B39" s="36"/>
      <c r="C39" s="36"/>
      <c r="D39" s="36"/>
      <c r="E39" s="36"/>
      <c r="F39" s="36"/>
    </row>
    <row r="40" spans="1:6" ht="15">
      <c r="A40" s="74"/>
      <c r="B40" s="36"/>
      <c r="C40" s="36"/>
      <c r="D40" s="36"/>
      <c r="E40" s="36"/>
      <c r="F40" s="36"/>
    </row>
    <row r="41" spans="1:6" ht="15">
      <c r="A41" s="36"/>
      <c r="B41" s="73"/>
      <c r="C41" s="36"/>
      <c r="D41" s="36"/>
      <c r="E41" s="36"/>
      <c r="F41" s="36"/>
    </row>
    <row r="42" spans="1:6" ht="15">
      <c r="A42" s="36"/>
      <c r="B42" s="106" t="s">
        <v>98</v>
      </c>
      <c r="C42" s="105">
        <v>0.2567</v>
      </c>
      <c r="D42" s="36"/>
      <c r="E42" s="36"/>
      <c r="F42" s="36"/>
    </row>
    <row r="43" spans="1:6" ht="15">
      <c r="A43" s="36"/>
      <c r="B43" s="98"/>
      <c r="C43" s="98"/>
      <c r="D43" s="99"/>
      <c r="E43" s="99"/>
      <c r="F43" s="100"/>
    </row>
    <row r="44" spans="1:6" ht="15">
      <c r="A44" s="36"/>
      <c r="B44" s="100"/>
      <c r="C44" s="100"/>
      <c r="D44" s="100"/>
      <c r="E44" s="100"/>
      <c r="F44" s="100"/>
    </row>
    <row r="45" spans="1:6" ht="12" customHeight="1">
      <c r="A45" s="104" t="s">
        <v>97</v>
      </c>
      <c r="B45" s="104"/>
      <c r="C45" s="104"/>
      <c r="D45" s="104"/>
      <c r="E45" s="104"/>
      <c r="F45" s="100"/>
    </row>
    <row r="46" spans="1:6" ht="64.5" customHeight="1">
      <c r="A46" s="350" t="s">
        <v>100</v>
      </c>
      <c r="B46" s="350"/>
      <c r="C46" s="350"/>
      <c r="D46" s="350"/>
      <c r="E46" s="350"/>
      <c r="F46" s="100"/>
    </row>
    <row r="47" spans="1:6" ht="15">
      <c r="A47" s="36"/>
      <c r="B47" s="100"/>
      <c r="C47" s="100"/>
      <c r="D47" s="100"/>
      <c r="E47" s="100"/>
      <c r="F47" s="100"/>
    </row>
    <row r="48" spans="1:6" ht="15">
      <c r="A48" s="36"/>
      <c r="B48" s="100"/>
      <c r="C48" s="100"/>
      <c r="D48" s="100"/>
      <c r="E48" s="100"/>
      <c r="F48" s="100"/>
    </row>
    <row r="49" spans="1:6" ht="15">
      <c r="A49" s="36"/>
      <c r="B49" s="101"/>
      <c r="C49" s="100"/>
      <c r="D49" s="100"/>
      <c r="E49" s="100"/>
      <c r="F49" s="100"/>
    </row>
    <row r="50" spans="1:6" ht="15">
      <c r="A50" s="74"/>
      <c r="B50" s="100"/>
      <c r="C50" s="100"/>
      <c r="D50" s="100"/>
      <c r="E50" s="100"/>
      <c r="F50" s="100"/>
    </row>
    <row r="51" spans="1:6" ht="15">
      <c r="A51" s="74"/>
      <c r="B51" s="100"/>
      <c r="C51" s="100"/>
      <c r="D51" s="100"/>
      <c r="E51" s="100"/>
      <c r="F51" s="100"/>
    </row>
    <row r="52" spans="1:6" ht="15">
      <c r="A52" s="36"/>
      <c r="B52" s="101"/>
      <c r="C52" s="100"/>
      <c r="D52" s="100"/>
      <c r="E52" s="100"/>
      <c r="F52" s="100"/>
    </row>
    <row r="53" spans="1:6" ht="15">
      <c r="A53" s="74"/>
      <c r="B53" s="100"/>
      <c r="C53" s="100"/>
      <c r="D53" s="100"/>
      <c r="E53" s="100"/>
      <c r="F53" s="100"/>
    </row>
    <row r="54" spans="1:7" ht="15">
      <c r="A54" s="36"/>
      <c r="B54" s="102"/>
      <c r="C54" s="100"/>
      <c r="D54" s="100"/>
      <c r="E54" s="100"/>
      <c r="F54" s="100"/>
      <c r="G54" s="65"/>
    </row>
    <row r="55" spans="1:6" ht="15">
      <c r="A55" s="74"/>
      <c r="B55" s="100"/>
      <c r="C55" s="100"/>
      <c r="D55" s="100"/>
      <c r="E55" s="100"/>
      <c r="F55" s="100"/>
    </row>
    <row r="56" spans="1:6" ht="15">
      <c r="A56" s="74"/>
      <c r="B56" s="100"/>
      <c r="C56" s="100"/>
      <c r="D56" s="100"/>
      <c r="E56" s="100"/>
      <c r="F56" s="100"/>
    </row>
    <row r="57" spans="1:6" ht="15">
      <c r="A57" s="36"/>
      <c r="B57" s="102"/>
      <c r="C57" s="100"/>
      <c r="D57" s="100"/>
      <c r="E57" s="102"/>
      <c r="F57" s="100"/>
    </row>
    <row r="58" spans="1:7" ht="15">
      <c r="A58" s="73"/>
      <c r="B58" s="100"/>
      <c r="C58" s="100"/>
      <c r="D58" s="100"/>
      <c r="E58" s="100"/>
      <c r="F58" s="100"/>
      <c r="G58" s="66"/>
    </row>
    <row r="59" spans="1:6" ht="15">
      <c r="A59" s="36"/>
      <c r="B59" s="102"/>
      <c r="C59" s="100"/>
      <c r="D59" s="100"/>
      <c r="E59" s="100"/>
      <c r="F59" s="100"/>
    </row>
    <row r="60" spans="1:6" ht="15">
      <c r="A60" s="74"/>
      <c r="B60" s="100"/>
      <c r="C60" s="100"/>
      <c r="D60" s="100"/>
      <c r="E60" s="100"/>
      <c r="F60" s="100"/>
    </row>
    <row r="61" spans="1:6" ht="15">
      <c r="A61" s="36"/>
      <c r="B61" s="103"/>
      <c r="C61" s="100"/>
      <c r="D61" s="100"/>
      <c r="E61" s="100"/>
      <c r="F61" s="100"/>
    </row>
    <row r="62" spans="1:6" ht="15">
      <c r="A62" s="36"/>
      <c r="B62" s="100"/>
      <c r="C62" s="100"/>
      <c r="D62" s="100"/>
      <c r="E62" s="100"/>
      <c r="F62" s="100"/>
    </row>
    <row r="63" spans="1:6" ht="15">
      <c r="A63" s="36"/>
      <c r="B63" s="100"/>
      <c r="C63" s="100"/>
      <c r="D63" s="100"/>
      <c r="E63" s="100"/>
      <c r="F63" s="100"/>
    </row>
    <row r="64" spans="1:6" ht="15">
      <c r="A64" s="36"/>
      <c r="B64" s="100"/>
      <c r="C64" s="100"/>
      <c r="D64" s="100"/>
      <c r="E64" s="100"/>
      <c r="F64" s="100"/>
    </row>
    <row r="65" spans="1:6" ht="15">
      <c r="A65" s="36"/>
      <c r="B65" s="100"/>
      <c r="C65" s="100"/>
      <c r="D65" s="100"/>
      <c r="E65" s="100"/>
      <c r="F65" s="100"/>
    </row>
    <row r="66" spans="1:6" ht="15">
      <c r="A66" s="36"/>
      <c r="B66" s="100"/>
      <c r="C66" s="100"/>
      <c r="D66" s="100"/>
      <c r="E66" s="100"/>
      <c r="F66" s="100"/>
    </row>
    <row r="67" spans="1:6" ht="15">
      <c r="A67" s="36"/>
      <c r="B67" s="100"/>
      <c r="C67" s="100"/>
      <c r="D67" s="100"/>
      <c r="E67" s="100"/>
      <c r="F67" s="100"/>
    </row>
    <row r="68" spans="1:6" ht="15">
      <c r="A68" s="36"/>
      <c r="B68" s="100"/>
      <c r="C68" s="100"/>
      <c r="D68" s="100"/>
      <c r="E68" s="100"/>
      <c r="F68" s="100"/>
    </row>
  </sheetData>
  <sheetProtection/>
  <mergeCells count="12">
    <mergeCell ref="A35:F35"/>
    <mergeCell ref="D38:E38"/>
    <mergeCell ref="A46:E46"/>
    <mergeCell ref="B6:E6"/>
    <mergeCell ref="B11:E11"/>
    <mergeCell ref="B15:C15"/>
    <mergeCell ref="A16:F16"/>
    <mergeCell ref="B32:C32"/>
    <mergeCell ref="D34:E34"/>
    <mergeCell ref="A2:C2"/>
    <mergeCell ref="A3:F3"/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60" zoomScaleNormal="80" workbookViewId="0" topLeftCell="A1">
      <selection activeCell="A1" sqref="A1:F1"/>
    </sheetView>
  </sheetViews>
  <sheetFormatPr defaultColWidth="9.140625" defaultRowHeight="15"/>
  <cols>
    <col min="1" max="1" width="8.8515625" style="0" customWidth="1"/>
    <col min="2" max="2" width="58.00390625" style="0" customWidth="1"/>
    <col min="3" max="3" width="19.00390625" style="0" customWidth="1"/>
    <col min="4" max="4" width="20.140625" style="0" customWidth="1"/>
    <col min="5" max="5" width="20.57421875" style="0" customWidth="1"/>
    <col min="6" max="6" width="29.8515625" style="0" customWidth="1"/>
  </cols>
  <sheetData>
    <row r="1" spans="1:6" s="124" customFormat="1" ht="26.25" customHeight="1">
      <c r="A1" s="408" t="s">
        <v>292</v>
      </c>
      <c r="B1" s="408"/>
      <c r="C1" s="408"/>
      <c r="D1" s="408"/>
      <c r="E1" s="408"/>
      <c r="F1" s="408"/>
    </row>
    <row r="2" s="5" customFormat="1" ht="36.75" customHeight="1"/>
    <row r="3" spans="1:6" s="5" customFormat="1" ht="18.75">
      <c r="A3" s="366" t="s">
        <v>9</v>
      </c>
      <c r="B3" s="366"/>
      <c r="C3" s="366"/>
      <c r="D3" s="366"/>
      <c r="E3" s="366"/>
      <c r="F3" s="367"/>
    </row>
    <row r="4" spans="1:6" s="5" customFormat="1" ht="23.25" customHeight="1">
      <c r="A4" s="368" t="s">
        <v>286</v>
      </c>
      <c r="B4" s="368"/>
      <c r="C4" s="368"/>
      <c r="D4" s="368"/>
      <c r="E4" s="368"/>
      <c r="F4" s="369"/>
    </row>
    <row r="5" spans="1:6" ht="22.5">
      <c r="A5" s="358" t="s">
        <v>73</v>
      </c>
      <c r="B5" s="359"/>
      <c r="C5" s="359"/>
      <c r="D5" s="359"/>
      <c r="E5" s="359"/>
      <c r="F5" s="359"/>
    </row>
    <row r="6" spans="1:6" ht="15.75">
      <c r="A6" s="360" t="s">
        <v>11</v>
      </c>
      <c r="B6" s="362" t="s">
        <v>117</v>
      </c>
      <c r="C6" s="126" t="s">
        <v>64</v>
      </c>
      <c r="D6" s="126" t="s">
        <v>65</v>
      </c>
      <c r="E6" s="356" t="s">
        <v>285</v>
      </c>
      <c r="F6" s="357"/>
    </row>
    <row r="7" spans="1:6" ht="15.75">
      <c r="A7" s="361"/>
      <c r="B7" s="363"/>
      <c r="C7" s="127" t="s">
        <v>66</v>
      </c>
      <c r="D7" s="127" t="s">
        <v>116</v>
      </c>
      <c r="E7" s="125">
        <v>30</v>
      </c>
      <c r="F7" s="297">
        <v>60</v>
      </c>
    </row>
    <row r="8" spans="1:6" ht="24.75" customHeight="1">
      <c r="A8" s="114">
        <v>1</v>
      </c>
      <c r="B8" s="128" t="str">
        <f>Orçamento!C8</f>
        <v>SERVIÇOS PRELIMINARES E ADMINISTRAÇÃO </v>
      </c>
      <c r="C8" s="112">
        <f>Orçamento!G9</f>
        <v>4140.42</v>
      </c>
      <c r="D8" s="49">
        <f>C8*125.67%</f>
        <v>5203.265813999999</v>
      </c>
      <c r="E8" s="132">
        <f>$D$8*1</f>
        <v>5203.265813999999</v>
      </c>
      <c r="F8" s="132"/>
    </row>
    <row r="9" spans="1:6" ht="15.75">
      <c r="A9" s="114"/>
      <c r="B9" s="38"/>
      <c r="C9" s="112"/>
      <c r="D9" s="40"/>
      <c r="E9" s="133"/>
      <c r="F9" s="133"/>
    </row>
    <row r="10" spans="1:6" s="124" customFormat="1" ht="12" customHeight="1">
      <c r="A10" s="114"/>
      <c r="B10" s="293"/>
      <c r="C10" s="112"/>
      <c r="D10" s="40"/>
      <c r="E10" s="133"/>
      <c r="F10" s="133"/>
    </row>
    <row r="11" spans="1:6" ht="23.25" customHeight="1">
      <c r="A11" s="114">
        <v>2</v>
      </c>
      <c r="B11" s="129" t="str">
        <f>Orçamento!C14</f>
        <v>PINTURA DA FACHADA PRINCIPAL</v>
      </c>
      <c r="C11" s="112">
        <f>Orçamento!G14</f>
        <v>16571.45</v>
      </c>
      <c r="D11" s="49">
        <f>C11*125.67%</f>
        <v>20825.341215</v>
      </c>
      <c r="E11" s="132">
        <f>$D$11*0.6</f>
        <v>12495.204729</v>
      </c>
      <c r="F11" s="132">
        <f>$D$11*0.4</f>
        <v>8330.136486000001</v>
      </c>
    </row>
    <row r="12" spans="1:6" s="107" customFormat="1" ht="18.75" customHeight="1">
      <c r="A12" s="114"/>
      <c r="B12" s="108"/>
      <c r="C12" s="112"/>
      <c r="D12" s="111"/>
      <c r="E12" s="132"/>
      <c r="F12" s="132"/>
    </row>
    <row r="13" spans="1:6" s="91" customFormat="1" ht="14.25" customHeight="1">
      <c r="A13" s="114"/>
      <c r="B13" s="109"/>
      <c r="C13" s="113"/>
      <c r="D13" s="110"/>
      <c r="E13" s="132"/>
      <c r="F13" s="132"/>
    </row>
    <row r="14" spans="1:6" s="91" customFormat="1" ht="25.5" customHeight="1">
      <c r="A14" s="114">
        <v>3</v>
      </c>
      <c r="B14" s="129" t="str">
        <f>Orçamento!C27</f>
        <v>PINTURA DA GUARITA</v>
      </c>
      <c r="C14" s="112">
        <f>Orçamento!G27</f>
        <v>1243.26</v>
      </c>
      <c r="D14" s="49">
        <f>C14*125.67%</f>
        <v>1562.404842</v>
      </c>
      <c r="E14" s="132">
        <f>$D$14*1</f>
        <v>1562.404842</v>
      </c>
      <c r="F14" s="132"/>
    </row>
    <row r="15" spans="1:6" s="91" customFormat="1" ht="15.75">
      <c r="A15" s="114"/>
      <c r="B15" s="109"/>
      <c r="C15" s="113"/>
      <c r="D15" s="110"/>
      <c r="E15" s="132"/>
      <c r="F15" s="132"/>
    </row>
    <row r="16" spans="1:6" ht="24.75" customHeight="1">
      <c r="A16" s="114">
        <v>4</v>
      </c>
      <c r="B16" s="129" t="str">
        <f>Orçamento!C32</f>
        <v>PINTURA DA FACHADA LATERAL ESQUERDA</v>
      </c>
      <c r="C16" s="112">
        <f>Orçamento!G32</f>
        <v>18624.049999999996</v>
      </c>
      <c r="D16" s="49">
        <f>C16*125.67%</f>
        <v>23404.843634999994</v>
      </c>
      <c r="E16" s="132">
        <f>$D$16*0.4</f>
        <v>9361.937453999997</v>
      </c>
      <c r="F16" s="132">
        <f>$D$16*0.6</f>
        <v>14042.906180999997</v>
      </c>
    </row>
    <row r="17" spans="1:6" s="107" customFormat="1" ht="15.75">
      <c r="A17" s="114"/>
      <c r="B17" s="108"/>
      <c r="C17" s="112"/>
      <c r="D17" s="111"/>
      <c r="E17" s="132"/>
      <c r="F17" s="132"/>
    </row>
    <row r="18" spans="1:6" s="91" customFormat="1" ht="19.5" customHeight="1">
      <c r="A18" s="114">
        <v>5</v>
      </c>
      <c r="B18" s="292" t="str">
        <f>Orçamento!C39</f>
        <v>PINTURA DOS FUNDOS</v>
      </c>
      <c r="C18" s="112">
        <f>Orçamento!G39</f>
        <v>3502.0899999999997</v>
      </c>
      <c r="D18" s="49">
        <f>C18*125.67%</f>
        <v>4401.076502999999</v>
      </c>
      <c r="E18" s="132">
        <f>$D$18*0.6</f>
        <v>2640.6459017999996</v>
      </c>
      <c r="F18" s="132">
        <f>$D$18*0.4</f>
        <v>1760.4306011999997</v>
      </c>
    </row>
    <row r="19" spans="1:6" s="91" customFormat="1" ht="15.75">
      <c r="A19" s="114"/>
      <c r="B19" s="109"/>
      <c r="C19" s="112"/>
      <c r="D19" s="110"/>
      <c r="E19" s="132"/>
      <c r="F19" s="132"/>
    </row>
    <row r="20" spans="1:6" s="124" customFormat="1" ht="17.25" customHeight="1">
      <c r="A20" s="114"/>
      <c r="B20" s="109"/>
      <c r="C20" s="112"/>
      <c r="D20" s="110"/>
      <c r="E20" s="132"/>
      <c r="F20" s="132"/>
    </row>
    <row r="21" spans="1:6" s="91" customFormat="1" ht="16.5" customHeight="1">
      <c r="A21" s="114">
        <v>6</v>
      </c>
      <c r="B21" s="292" t="s">
        <v>181</v>
      </c>
      <c r="C21" s="112">
        <f>Orçamento!G45</f>
        <v>6708.08</v>
      </c>
      <c r="D21" s="49">
        <f>C21*125.67%</f>
        <v>8430.044135999999</v>
      </c>
      <c r="E21" s="132">
        <f>$D$21*0.6</f>
        <v>5058.026481599999</v>
      </c>
      <c r="F21" s="132">
        <f>$D$21*0.4</f>
        <v>3372.0176543999996</v>
      </c>
    </row>
    <row r="22" spans="1:6" s="91" customFormat="1" ht="15.75">
      <c r="A22" s="114"/>
      <c r="B22" s="109"/>
      <c r="C22" s="112"/>
      <c r="D22" s="110"/>
      <c r="E22" s="132"/>
      <c r="F22" s="132"/>
    </row>
    <row r="23" spans="1:6" s="91" customFormat="1" ht="15.75">
      <c r="A23" s="114"/>
      <c r="B23" s="109"/>
      <c r="C23" s="112"/>
      <c r="D23" s="110"/>
      <c r="E23" s="132"/>
      <c r="F23" s="132"/>
    </row>
    <row r="24" spans="1:6" s="91" customFormat="1" ht="15.75">
      <c r="A24" s="114">
        <v>7</v>
      </c>
      <c r="B24" s="292" t="s">
        <v>40</v>
      </c>
      <c r="C24" s="112">
        <f>Orçamento!G51</f>
        <v>3752.4799999999996</v>
      </c>
      <c r="D24" s="49">
        <f>C24*125.67%</f>
        <v>4715.741615999999</v>
      </c>
      <c r="E24" s="132">
        <f>$D$24*0.6</f>
        <v>2829.4449695999997</v>
      </c>
      <c r="F24" s="132">
        <f>$D$24*0.4</f>
        <v>1886.2966463999999</v>
      </c>
    </row>
    <row r="25" spans="1:6" s="91" customFormat="1" ht="15.75">
      <c r="A25" s="114"/>
      <c r="B25" s="109"/>
      <c r="C25" s="112"/>
      <c r="D25" s="110"/>
      <c r="E25" s="132"/>
      <c r="F25" s="132"/>
    </row>
    <row r="26" spans="1:6" ht="15.75">
      <c r="A26" s="46"/>
      <c r="B26" s="47" t="s">
        <v>67</v>
      </c>
      <c r="C26" s="48">
        <f>SUM(C8:C25)</f>
        <v>54541.82999999999</v>
      </c>
      <c r="D26" s="49">
        <f>D8+D11+D14+D16+D18+D21+D24</f>
        <v>68542.71776099998</v>
      </c>
      <c r="E26" s="59"/>
      <c r="F26" s="50"/>
    </row>
    <row r="27" spans="1:7" ht="19.5" customHeight="1">
      <c r="A27" s="51"/>
      <c r="B27" s="364" t="s">
        <v>68</v>
      </c>
      <c r="C27" s="52" t="s">
        <v>69</v>
      </c>
      <c r="D27" s="53"/>
      <c r="E27" s="54">
        <f>SUM(E8:E25)</f>
        <v>39150.930192</v>
      </c>
      <c r="F27" s="55">
        <f>SUM(F8:F25)</f>
        <v>29391.787568999993</v>
      </c>
      <c r="G27" s="294"/>
    </row>
    <row r="28" spans="1:6" ht="21" customHeight="1">
      <c r="A28" s="56"/>
      <c r="B28" s="365"/>
      <c r="C28" s="57" t="s">
        <v>70</v>
      </c>
      <c r="D28" s="58"/>
      <c r="E28" s="59">
        <f>E27</f>
        <v>39150.930192</v>
      </c>
      <c r="F28" s="50">
        <f>E28+F27</f>
        <v>68542.71776099999</v>
      </c>
    </row>
    <row r="29" spans="1:6" ht="30.75" customHeight="1">
      <c r="A29" s="56"/>
      <c r="B29" s="364" t="s">
        <v>71</v>
      </c>
      <c r="C29" s="57" t="s">
        <v>72</v>
      </c>
      <c r="D29" s="60"/>
      <c r="E29" s="59">
        <f>E27*100/D26</f>
        <v>57.119022225693584</v>
      </c>
      <c r="F29" s="50">
        <f>F27*100/D26</f>
        <v>42.880977774306444</v>
      </c>
    </row>
    <row r="30" spans="1:6" ht="15.75">
      <c r="A30" s="61"/>
      <c r="B30" s="365"/>
      <c r="C30" s="57" t="s">
        <v>70</v>
      </c>
      <c r="D30" s="60"/>
      <c r="E30" s="59">
        <f>E29</f>
        <v>57.119022225693584</v>
      </c>
      <c r="F30" s="50">
        <f>E30+F29</f>
        <v>100.00000000000003</v>
      </c>
    </row>
    <row r="31" spans="1:6" ht="15.75">
      <c r="A31" s="37"/>
      <c r="B31" s="44"/>
      <c r="C31" s="39"/>
      <c r="D31" s="43"/>
      <c r="E31" s="41"/>
      <c r="F31" s="42"/>
    </row>
    <row r="32" spans="1:6" ht="15.75">
      <c r="A32" s="45"/>
      <c r="B32" s="62"/>
      <c r="C32" s="45"/>
      <c r="D32" s="62"/>
      <c r="E32" s="62"/>
      <c r="F32" s="63"/>
    </row>
  </sheetData>
  <sheetProtection/>
  <mergeCells count="9">
    <mergeCell ref="A3:F3"/>
    <mergeCell ref="A4:F4"/>
    <mergeCell ref="A1:F1"/>
    <mergeCell ref="E6:F6"/>
    <mergeCell ref="A5:F5"/>
    <mergeCell ref="A6:A7"/>
    <mergeCell ref="B6:B7"/>
    <mergeCell ref="B27:B28"/>
    <mergeCell ref="B29:B30"/>
  </mergeCells>
  <printOptions/>
  <pageMargins left="0.5118110236220472" right="0.5118110236220472" top="0.9055118110236221" bottom="0.2755905511811024" header="0.31496062992125984" footer="0.31496062992125984"/>
  <pageSetup horizontalDpi="600" verticalDpi="600" orientation="landscape" paperSize="9" scale="82" r:id="rId2"/>
  <headerFooter>
    <oddHeader>&amp;CPODER JUDICIÁRIO
JUSTIÇA FEDERAL DE 1ª INSTÂNCIA
SEÇÃO JUDICIÁRIA DE RORAIMA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55"/>
  <sheetViews>
    <sheetView view="pageBreakPreview" zoomScale="60" zoomScaleNormal="75" workbookViewId="0" topLeftCell="A19">
      <selection activeCell="F28" sqref="F28"/>
    </sheetView>
  </sheetViews>
  <sheetFormatPr defaultColWidth="9.140625" defaultRowHeight="15"/>
  <cols>
    <col min="1" max="2" width="9.140625" style="93" customWidth="1"/>
    <col min="3" max="3" width="56.00390625" style="93" customWidth="1"/>
    <col min="4" max="4" width="13.8515625" style="93" customWidth="1"/>
    <col min="5" max="5" width="10.28125" style="93" customWidth="1"/>
    <col min="6" max="6" width="12.7109375" style="93" customWidth="1"/>
    <col min="7" max="7" width="18.00390625" style="93" customWidth="1"/>
    <col min="8" max="8" width="29.28125" style="93" customWidth="1"/>
    <col min="9" max="16384" width="9.140625" style="93" customWidth="1"/>
  </cols>
  <sheetData>
    <row r="1" ht="18" customHeight="1"/>
    <row r="2" spans="1:8" ht="24.75" customHeight="1">
      <c r="A2" s="373" t="s">
        <v>266</v>
      </c>
      <c r="B2" s="374"/>
      <c r="C2" s="374"/>
      <c r="D2" s="374"/>
      <c r="E2" s="374"/>
      <c r="F2" s="375"/>
      <c r="G2" s="376" t="s">
        <v>246</v>
      </c>
      <c r="H2" s="377"/>
    </row>
    <row r="3" spans="1:8" ht="45" customHeight="1">
      <c r="A3" s="378" t="s">
        <v>247</v>
      </c>
      <c r="B3" s="379"/>
      <c r="C3" s="379"/>
      <c r="D3" s="379"/>
      <c r="E3" s="379"/>
      <c r="F3" s="379"/>
      <c r="G3" s="379"/>
      <c r="H3" s="380"/>
    </row>
    <row r="4" spans="1:8" ht="15">
      <c r="A4" s="381"/>
      <c r="B4" s="382"/>
      <c r="C4" s="382"/>
      <c r="D4" s="382"/>
      <c r="E4" s="382"/>
      <c r="F4" s="382"/>
      <c r="G4" s="382"/>
      <c r="H4" s="383"/>
    </row>
    <row r="5" spans="1:8" ht="30">
      <c r="A5" s="370" t="s">
        <v>248</v>
      </c>
      <c r="B5" s="371"/>
      <c r="C5" s="372"/>
      <c r="D5" s="280" t="s">
        <v>249</v>
      </c>
      <c r="E5" s="281" t="s">
        <v>250</v>
      </c>
      <c r="F5" s="281" t="s">
        <v>251</v>
      </c>
      <c r="G5" s="281" t="s">
        <v>252</v>
      </c>
      <c r="H5" s="282" t="s">
        <v>253</v>
      </c>
    </row>
    <row r="6" spans="1:8" ht="24.75" customHeight="1">
      <c r="A6" s="384" t="s">
        <v>254</v>
      </c>
      <c r="B6" s="385"/>
      <c r="C6" s="386"/>
      <c r="D6" s="283">
        <v>4783</v>
      </c>
      <c r="E6" s="284" t="s">
        <v>0</v>
      </c>
      <c r="F6" s="285">
        <v>0.45</v>
      </c>
      <c r="G6" s="286">
        <v>12.78</v>
      </c>
      <c r="H6" s="287">
        <f>F6*G6</f>
        <v>5.7509999999999994</v>
      </c>
    </row>
    <row r="7" spans="1:8" ht="28.5" customHeight="1">
      <c r="A7" s="384" t="s">
        <v>255</v>
      </c>
      <c r="B7" s="385"/>
      <c r="C7" s="386"/>
      <c r="D7" s="283">
        <v>34466</v>
      </c>
      <c r="E7" s="284" t="s">
        <v>0</v>
      </c>
      <c r="F7" s="285">
        <v>0.4</v>
      </c>
      <c r="G7" s="286">
        <v>9.63</v>
      </c>
      <c r="H7" s="287">
        <f>F7*G7</f>
        <v>3.8520000000000003</v>
      </c>
    </row>
    <row r="8" spans="1:8" ht="23.25" customHeight="1">
      <c r="A8" s="387" t="s">
        <v>256</v>
      </c>
      <c r="B8" s="388"/>
      <c r="C8" s="388"/>
      <c r="D8" s="388"/>
      <c r="E8" s="388"/>
      <c r="F8" s="388"/>
      <c r="G8" s="389"/>
      <c r="H8" s="288">
        <f>SUM(H6:H7)</f>
        <v>9.603</v>
      </c>
    </row>
    <row r="9" spans="1:8" ht="30.75" customHeight="1">
      <c r="A9" s="387" t="s">
        <v>268</v>
      </c>
      <c r="B9" s="388"/>
      <c r="C9" s="388"/>
      <c r="D9" s="388"/>
      <c r="E9" s="388"/>
      <c r="F9" s="388"/>
      <c r="G9" s="389"/>
      <c r="H9" s="288">
        <f>ROUND(H8*87.16%,2)</f>
        <v>8.37</v>
      </c>
    </row>
    <row r="10" spans="1:8" ht="25.5" customHeight="1">
      <c r="A10" s="387" t="s">
        <v>257</v>
      </c>
      <c r="B10" s="388"/>
      <c r="C10" s="388"/>
      <c r="D10" s="388"/>
      <c r="E10" s="388"/>
      <c r="F10" s="388"/>
      <c r="G10" s="389"/>
      <c r="H10" s="288">
        <f>H8+H9</f>
        <v>17.973</v>
      </c>
    </row>
    <row r="11" spans="1:8" s="170" customFormat="1" ht="15.75" customHeight="1">
      <c r="A11" s="381"/>
      <c r="B11" s="382"/>
      <c r="C11" s="382"/>
      <c r="D11" s="382"/>
      <c r="E11" s="382"/>
      <c r="F11" s="382"/>
      <c r="G11" s="382"/>
      <c r="H11" s="383"/>
    </row>
    <row r="12" spans="1:8" s="170" customFormat="1" ht="67.5" customHeight="1">
      <c r="A12" s="370" t="s">
        <v>258</v>
      </c>
      <c r="B12" s="371"/>
      <c r="C12" s="372"/>
      <c r="D12" s="280" t="s">
        <v>249</v>
      </c>
      <c r="E12" s="281" t="s">
        <v>250</v>
      </c>
      <c r="F12" s="281" t="s">
        <v>259</v>
      </c>
      <c r="G12" s="281" t="s">
        <v>252</v>
      </c>
      <c r="H12" s="282" t="s">
        <v>253</v>
      </c>
    </row>
    <row r="13" spans="1:8" s="170" customFormat="1" ht="27.75" customHeight="1">
      <c r="A13" s="384" t="s">
        <v>260</v>
      </c>
      <c r="B13" s="385"/>
      <c r="C13" s="386"/>
      <c r="D13" s="283" t="s">
        <v>267</v>
      </c>
      <c r="E13" s="284" t="s">
        <v>3</v>
      </c>
      <c r="F13" s="285">
        <v>0.24</v>
      </c>
      <c r="G13" s="286">
        <v>3.1</v>
      </c>
      <c r="H13" s="287">
        <f>ROUND(F13*G13,2)</f>
        <v>0.74</v>
      </c>
    </row>
    <row r="14" spans="1:8" ht="28.5" customHeight="1">
      <c r="A14" s="384" t="s">
        <v>261</v>
      </c>
      <c r="B14" s="385"/>
      <c r="C14" s="386"/>
      <c r="D14" s="283">
        <v>3767</v>
      </c>
      <c r="E14" s="284" t="s">
        <v>262</v>
      </c>
      <c r="F14" s="285">
        <v>0.4</v>
      </c>
      <c r="G14" s="286">
        <v>0.37</v>
      </c>
      <c r="H14" s="287">
        <f>F14*G14</f>
        <v>0.148</v>
      </c>
    </row>
    <row r="15" spans="1:8" ht="15">
      <c r="A15" s="387" t="s">
        <v>263</v>
      </c>
      <c r="B15" s="388"/>
      <c r="C15" s="388"/>
      <c r="D15" s="388"/>
      <c r="E15" s="388"/>
      <c r="F15" s="388"/>
      <c r="G15" s="389"/>
      <c r="H15" s="288">
        <f>SUM(H13:H14)</f>
        <v>0.888</v>
      </c>
    </row>
    <row r="16" spans="1:8" ht="15">
      <c r="A16" s="381"/>
      <c r="B16" s="382"/>
      <c r="C16" s="382"/>
      <c r="D16" s="382"/>
      <c r="E16" s="382"/>
      <c r="F16" s="382"/>
      <c r="G16" s="382"/>
      <c r="H16" s="383"/>
    </row>
    <row r="17" spans="1:8" ht="15">
      <c r="A17" s="390" t="s">
        <v>264</v>
      </c>
      <c r="B17" s="391"/>
      <c r="C17" s="391"/>
      <c r="D17" s="391"/>
      <c r="E17" s="391"/>
      <c r="F17" s="391"/>
      <c r="G17" s="392"/>
      <c r="H17" s="289">
        <f>H10+H15</f>
        <v>18.861</v>
      </c>
    </row>
    <row r="18" spans="1:8" ht="15">
      <c r="A18" s="381"/>
      <c r="B18" s="382"/>
      <c r="C18" s="382"/>
      <c r="D18" s="382"/>
      <c r="E18" s="382"/>
      <c r="F18" s="382"/>
      <c r="G18" s="382"/>
      <c r="H18" s="383"/>
    </row>
    <row r="19" spans="1:8" ht="15">
      <c r="A19" s="390" t="s">
        <v>269</v>
      </c>
      <c r="B19" s="391"/>
      <c r="C19" s="391"/>
      <c r="D19" s="391"/>
      <c r="E19" s="391"/>
      <c r="F19" s="391"/>
      <c r="G19" s="392"/>
      <c r="H19" s="289"/>
    </row>
    <row r="20" spans="1:8" ht="57.75" customHeight="1">
      <c r="A20" s="373" t="s">
        <v>265</v>
      </c>
      <c r="B20" s="374"/>
      <c r="C20" s="374"/>
      <c r="D20" s="374"/>
      <c r="E20" s="374"/>
      <c r="F20" s="374"/>
      <c r="G20" s="375"/>
      <c r="H20" s="290">
        <f>H17+H19</f>
        <v>18.861</v>
      </c>
    </row>
    <row r="23" spans="1:8" ht="15">
      <c r="A23" s="373" t="s">
        <v>266</v>
      </c>
      <c r="B23" s="374"/>
      <c r="C23" s="374"/>
      <c r="D23" s="374"/>
      <c r="E23" s="374"/>
      <c r="F23" s="375"/>
      <c r="G23" s="376" t="s">
        <v>246</v>
      </c>
      <c r="H23" s="377"/>
    </row>
    <row r="24" spans="1:8" ht="36" customHeight="1">
      <c r="A24" s="378" t="s">
        <v>283</v>
      </c>
      <c r="B24" s="379"/>
      <c r="C24" s="379"/>
      <c r="D24" s="379"/>
      <c r="E24" s="379"/>
      <c r="F24" s="379"/>
      <c r="G24" s="379"/>
      <c r="H24" s="380"/>
    </row>
    <row r="25" spans="1:8" ht="15">
      <c r="A25" s="381"/>
      <c r="B25" s="382"/>
      <c r="C25" s="382"/>
      <c r="D25" s="382"/>
      <c r="E25" s="382"/>
      <c r="F25" s="382"/>
      <c r="G25" s="382"/>
      <c r="H25" s="383"/>
    </row>
    <row r="26" spans="1:8" ht="30">
      <c r="A26" s="370" t="s">
        <v>248</v>
      </c>
      <c r="B26" s="371"/>
      <c r="C26" s="372"/>
      <c r="D26" s="280" t="s">
        <v>249</v>
      </c>
      <c r="E26" s="281" t="s">
        <v>250</v>
      </c>
      <c r="F26" s="281" t="s">
        <v>251</v>
      </c>
      <c r="G26" s="281" t="s">
        <v>252</v>
      </c>
      <c r="H26" s="282" t="s">
        <v>253</v>
      </c>
    </row>
    <row r="27" spans="1:8" ht="18.75" customHeight="1">
      <c r="A27" s="384" t="s">
        <v>254</v>
      </c>
      <c r="B27" s="385"/>
      <c r="C27" s="386"/>
      <c r="D27" s="283">
        <v>4783</v>
      </c>
      <c r="E27" s="284" t="s">
        <v>0</v>
      </c>
      <c r="F27" s="285">
        <v>0.14</v>
      </c>
      <c r="G27" s="286">
        <v>12.78</v>
      </c>
      <c r="H27" s="287">
        <f>F27*G27</f>
        <v>1.7892000000000001</v>
      </c>
    </row>
    <row r="28" spans="1:8" ht="22.5" customHeight="1">
      <c r="A28" s="384" t="s">
        <v>255</v>
      </c>
      <c r="B28" s="385"/>
      <c r="C28" s="386"/>
      <c r="D28" s="283">
        <v>34466</v>
      </c>
      <c r="E28" s="284" t="s">
        <v>0</v>
      </c>
      <c r="F28" s="285">
        <v>0.1</v>
      </c>
      <c r="G28" s="286">
        <v>9.63</v>
      </c>
      <c r="H28" s="287">
        <f>F28*G28</f>
        <v>0.9630000000000001</v>
      </c>
    </row>
    <row r="29" spans="1:8" ht="15">
      <c r="A29" s="387" t="s">
        <v>256</v>
      </c>
      <c r="B29" s="388"/>
      <c r="C29" s="388"/>
      <c r="D29" s="388"/>
      <c r="E29" s="388"/>
      <c r="F29" s="388"/>
      <c r="G29" s="389"/>
      <c r="H29" s="288">
        <f>SUM(H27:H28)</f>
        <v>2.7522</v>
      </c>
    </row>
    <row r="30" spans="1:8" ht="57" customHeight="1">
      <c r="A30" s="387" t="s">
        <v>268</v>
      </c>
      <c r="B30" s="388"/>
      <c r="C30" s="388"/>
      <c r="D30" s="388"/>
      <c r="E30" s="388"/>
      <c r="F30" s="388"/>
      <c r="G30" s="389"/>
      <c r="H30" s="288">
        <f>ROUND(H29*87.16%,2)</f>
        <v>2.4</v>
      </c>
    </row>
    <row r="31" spans="1:8" ht="15">
      <c r="A31" s="387" t="s">
        <v>257</v>
      </c>
      <c r="B31" s="388"/>
      <c r="C31" s="388"/>
      <c r="D31" s="388"/>
      <c r="E31" s="388"/>
      <c r="F31" s="388"/>
      <c r="G31" s="389"/>
      <c r="H31" s="288">
        <f>H29+H30</f>
        <v>5.152200000000001</v>
      </c>
    </row>
    <row r="32" spans="1:8" ht="15">
      <c r="A32" s="381"/>
      <c r="B32" s="382"/>
      <c r="C32" s="382"/>
      <c r="D32" s="382"/>
      <c r="E32" s="382"/>
      <c r="F32" s="382"/>
      <c r="G32" s="382"/>
      <c r="H32" s="383"/>
    </row>
    <row r="33" spans="1:8" ht="30">
      <c r="A33" s="370" t="s">
        <v>258</v>
      </c>
      <c r="B33" s="371"/>
      <c r="C33" s="372"/>
      <c r="D33" s="280" t="s">
        <v>249</v>
      </c>
      <c r="E33" s="281" t="s">
        <v>250</v>
      </c>
      <c r="F33" s="281" t="s">
        <v>259</v>
      </c>
      <c r="G33" s="281" t="s">
        <v>252</v>
      </c>
      <c r="H33" s="282" t="s">
        <v>253</v>
      </c>
    </row>
    <row r="34" spans="1:8" ht="36" customHeight="1">
      <c r="A34" s="384" t="s">
        <v>261</v>
      </c>
      <c r="B34" s="385"/>
      <c r="C34" s="386"/>
      <c r="D34" s="283">
        <v>3768</v>
      </c>
      <c r="E34" s="284" t="s">
        <v>262</v>
      </c>
      <c r="F34" s="285">
        <v>0.5</v>
      </c>
      <c r="G34" s="286">
        <v>1.5</v>
      </c>
      <c r="H34" s="287">
        <f>F34*G34</f>
        <v>0.75</v>
      </c>
    </row>
    <row r="35" spans="1:8" ht="28.5" customHeight="1">
      <c r="A35" s="387" t="s">
        <v>263</v>
      </c>
      <c r="B35" s="388"/>
      <c r="C35" s="388"/>
      <c r="D35" s="388"/>
      <c r="E35" s="388"/>
      <c r="F35" s="388"/>
      <c r="G35" s="389"/>
      <c r="H35" s="288">
        <f>SUM(H34:H34)</f>
        <v>0.75</v>
      </c>
    </row>
    <row r="36" spans="1:8" ht="15">
      <c r="A36" s="381"/>
      <c r="B36" s="382"/>
      <c r="C36" s="382"/>
      <c r="D36" s="382"/>
      <c r="E36" s="382"/>
      <c r="F36" s="382"/>
      <c r="G36" s="382"/>
      <c r="H36" s="383"/>
    </row>
    <row r="37" spans="1:8" ht="15">
      <c r="A37" s="390" t="s">
        <v>264</v>
      </c>
      <c r="B37" s="391"/>
      <c r="C37" s="391"/>
      <c r="D37" s="391"/>
      <c r="E37" s="391"/>
      <c r="F37" s="391"/>
      <c r="G37" s="392"/>
      <c r="H37" s="289">
        <f>H31+H35</f>
        <v>5.902200000000001</v>
      </c>
    </row>
    <row r="38" spans="1:8" ht="15">
      <c r="A38" s="381"/>
      <c r="B38" s="382"/>
      <c r="C38" s="382"/>
      <c r="D38" s="382"/>
      <c r="E38" s="382"/>
      <c r="F38" s="382"/>
      <c r="G38" s="382"/>
      <c r="H38" s="383"/>
    </row>
    <row r="39" spans="1:8" ht="15">
      <c r="A39" s="390" t="s">
        <v>269</v>
      </c>
      <c r="B39" s="391"/>
      <c r="C39" s="391"/>
      <c r="D39" s="391"/>
      <c r="E39" s="391"/>
      <c r="F39" s="391"/>
      <c r="G39" s="392"/>
      <c r="H39" s="289"/>
    </row>
    <row r="40" spans="1:8" ht="51" customHeight="1">
      <c r="A40" s="373" t="s">
        <v>265</v>
      </c>
      <c r="B40" s="374"/>
      <c r="C40" s="374"/>
      <c r="D40" s="374"/>
      <c r="E40" s="374"/>
      <c r="F40" s="374"/>
      <c r="G40" s="375"/>
      <c r="H40" s="290">
        <f>H37+H39</f>
        <v>5.902200000000001</v>
      </c>
    </row>
    <row r="41" ht="34.5" customHeight="1"/>
    <row r="42" ht="17.25" customHeight="1"/>
    <row r="51" ht="116.25" customHeight="1"/>
    <row r="53" ht="15">
      <c r="A53" s="172"/>
    </row>
    <row r="63" ht="147.75" customHeight="1"/>
    <row r="90" ht="144" customHeight="1"/>
    <row r="115" s="171" customFormat="1" ht="15"/>
    <row r="116" s="171" customFormat="1" ht="15"/>
    <row r="117" s="171" customFormat="1" ht="15"/>
    <row r="118" s="171" customFormat="1" ht="141.75" customHeight="1"/>
    <row r="119" s="171" customFormat="1" ht="15"/>
    <row r="120" s="171" customFormat="1" ht="15"/>
    <row r="121" s="171" customFormat="1" ht="15"/>
    <row r="122" s="171" customFormat="1" ht="15"/>
    <row r="123" s="171" customFormat="1" ht="15"/>
    <row r="124" s="171" customFormat="1" ht="15"/>
    <row r="125" s="171" customFormat="1" ht="15"/>
    <row r="126" s="171" customFormat="1" ht="15"/>
    <row r="145" ht="157.5" customHeight="1"/>
    <row r="173" ht="170.25" customHeight="1"/>
    <row r="192" ht="100.5" customHeight="1"/>
    <row r="212" ht="183" customHeight="1"/>
    <row r="234" ht="144" customHeight="1"/>
    <row r="254" ht="144" customHeight="1"/>
    <row r="273" ht="141" customHeight="1"/>
    <row r="293" ht="45.75" customHeight="1"/>
    <row r="307" ht="46.5" customHeight="1"/>
    <row r="319" ht="52.5" customHeight="1"/>
    <row r="333" ht="45.75" customHeight="1"/>
    <row r="346" s="172" customFormat="1" ht="15"/>
    <row r="347" s="172" customFormat="1" ht="58.5" customHeight="1"/>
    <row r="348" s="172" customFormat="1" ht="15"/>
    <row r="349" s="172" customFormat="1" ht="15"/>
    <row r="350" s="172" customFormat="1" ht="15"/>
    <row r="351" s="172" customFormat="1" ht="15"/>
    <row r="352" s="172" customFormat="1" ht="30" customHeight="1"/>
    <row r="353" s="172" customFormat="1" ht="15"/>
    <row r="354" s="172" customFormat="1" ht="15"/>
    <row r="355" s="172" customFormat="1" ht="15"/>
    <row r="356" s="172" customFormat="1" ht="15"/>
    <row r="357" s="172" customFormat="1" ht="15"/>
    <row r="358" s="172" customFormat="1" ht="15"/>
    <row r="359" s="172" customFormat="1" ht="15"/>
    <row r="360" s="172" customFormat="1" ht="58.5" customHeight="1"/>
    <row r="361" s="172" customFormat="1" ht="15"/>
    <row r="362" s="172" customFormat="1" ht="15"/>
    <row r="363" s="172" customFormat="1" ht="15"/>
    <row r="364" s="172" customFormat="1" ht="15"/>
    <row r="365" s="172" customFormat="1" ht="30" customHeight="1"/>
    <row r="366" s="172" customFormat="1" ht="15"/>
    <row r="367" s="172" customFormat="1" ht="15"/>
    <row r="368" s="172" customFormat="1" ht="15"/>
    <row r="369" s="172" customFormat="1" ht="15"/>
    <row r="370" s="172" customFormat="1" ht="15"/>
    <row r="371" s="172" customFormat="1" ht="15" customHeight="1"/>
    <row r="373" spans="1:2" ht="38.25" customHeight="1">
      <c r="A373" s="172"/>
      <c r="B373" s="172"/>
    </row>
    <row r="374" spans="1:2" ht="15">
      <c r="A374" s="172"/>
      <c r="B374" s="172"/>
    </row>
    <row r="375" spans="1:2" ht="15">
      <c r="A375" s="172"/>
      <c r="B375" s="172"/>
    </row>
    <row r="376" spans="1:2" ht="15">
      <c r="A376" s="172"/>
      <c r="B376" s="172"/>
    </row>
    <row r="377" spans="1:2" ht="15">
      <c r="A377" s="172"/>
      <c r="B377" s="172"/>
    </row>
    <row r="378" spans="1:2" ht="15">
      <c r="A378" s="172"/>
      <c r="B378" s="172"/>
    </row>
    <row r="379" spans="1:2" ht="15">
      <c r="A379" s="172"/>
      <c r="B379" s="172"/>
    </row>
    <row r="386" ht="48" customHeight="1"/>
    <row r="399" ht="44.25" customHeight="1"/>
    <row r="417" ht="46.5" customHeight="1"/>
    <row r="428" ht="57" customHeight="1"/>
    <row r="441" spans="1:4" s="172" customFormat="1" ht="63" customHeight="1">
      <c r="A441" s="173"/>
      <c r="B441" s="173"/>
      <c r="C441" s="173"/>
      <c r="D441" s="173"/>
    </row>
    <row r="442" spans="1:4" s="172" customFormat="1" ht="15">
      <c r="A442" s="173"/>
      <c r="B442" s="173"/>
      <c r="C442" s="173"/>
      <c r="D442" s="173"/>
    </row>
    <row r="443" spans="1:4" s="172" customFormat="1" ht="15">
      <c r="A443" s="173"/>
      <c r="B443" s="173"/>
      <c r="C443" s="173"/>
      <c r="D443" s="173"/>
    </row>
    <row r="444" spans="1:4" s="172" customFormat="1" ht="15">
      <c r="A444" s="173"/>
      <c r="B444" s="173"/>
      <c r="C444" s="173"/>
      <c r="D444" s="173"/>
    </row>
    <row r="445" spans="1:4" s="172" customFormat="1" ht="15">
      <c r="A445" s="173"/>
      <c r="B445" s="173"/>
      <c r="C445" s="173"/>
      <c r="D445" s="173"/>
    </row>
    <row r="446" spans="1:4" s="172" customFormat="1" ht="15">
      <c r="A446" s="173"/>
      <c r="B446" s="173"/>
      <c r="C446" s="173"/>
      <c r="D446" s="173"/>
    </row>
    <row r="447" spans="1:4" s="172" customFormat="1" ht="15">
      <c r="A447" s="173"/>
      <c r="B447" s="173"/>
      <c r="C447" s="173"/>
      <c r="D447" s="173"/>
    </row>
    <row r="448" spans="1:4" s="172" customFormat="1" ht="15">
      <c r="A448" s="173"/>
      <c r="B448" s="173"/>
      <c r="C448" s="173"/>
      <c r="D448" s="173"/>
    </row>
    <row r="449" spans="1:4" s="172" customFormat="1" ht="15">
      <c r="A449" s="173"/>
      <c r="B449" s="173"/>
      <c r="C449" s="173"/>
      <c r="D449" s="173"/>
    </row>
    <row r="450" spans="1:4" s="172" customFormat="1" ht="15">
      <c r="A450" s="173"/>
      <c r="B450" s="173"/>
      <c r="C450" s="173"/>
      <c r="D450" s="173"/>
    </row>
    <row r="454" ht="36" customHeight="1"/>
    <row r="465" ht="59.25" customHeight="1"/>
    <row r="476" ht="62.25" customHeight="1"/>
    <row r="487" s="171" customFormat="1" ht="60" customHeight="1"/>
    <row r="488" s="171" customFormat="1" ht="15"/>
    <row r="491" s="171" customFormat="1" ht="15"/>
    <row r="492" s="171" customFormat="1" ht="15"/>
    <row r="493" s="171" customFormat="1" ht="15"/>
    <row r="494" s="171" customFormat="1" ht="15"/>
    <row r="495" s="171" customFormat="1" ht="15"/>
    <row r="499" ht="54.75" customHeight="1"/>
    <row r="514" ht="74.25" customHeight="1"/>
    <row r="528" ht="87.75" customHeight="1"/>
    <row r="541" ht="55.5" customHeight="1"/>
    <row r="547" ht="15">
      <c r="C547" s="174"/>
    </row>
    <row r="552" ht="99.75" customHeight="1"/>
    <row r="564" ht="88.5" customHeight="1"/>
    <row r="576" ht="141.75" customHeight="1"/>
    <row r="603" s="175" customFormat="1" ht="15"/>
    <row r="604" s="171" customFormat="1" ht="100.5" customHeight="1"/>
    <row r="605" s="171" customFormat="1" ht="15"/>
    <row r="606" s="171" customFormat="1" ht="15"/>
    <row r="607" s="171" customFormat="1" ht="15"/>
    <row r="608" s="171" customFormat="1" ht="15"/>
    <row r="609" s="171" customFormat="1" ht="15"/>
    <row r="610" s="171" customFormat="1" ht="15"/>
    <row r="611" s="171" customFormat="1" ht="15"/>
    <row r="612" s="171" customFormat="1" ht="15"/>
    <row r="613" s="171" customFormat="1" ht="15"/>
    <row r="614" s="171" customFormat="1" ht="15"/>
    <row r="615" s="171" customFormat="1" ht="15"/>
    <row r="616" s="171" customFormat="1" ht="15"/>
    <row r="617" s="171" customFormat="1" ht="15"/>
    <row r="618" s="171" customFormat="1" ht="15"/>
    <row r="619" s="171" customFormat="1" ht="15"/>
    <row r="622" ht="60" customHeight="1"/>
    <row r="638" ht="156" customHeight="1"/>
    <row r="642" spans="1:5" ht="15">
      <c r="A642" s="171"/>
      <c r="B642" s="171"/>
      <c r="C642" s="171"/>
      <c r="D642" s="171"/>
      <c r="E642" s="171"/>
    </row>
    <row r="643" spans="1:5" ht="15">
      <c r="A643" s="171"/>
      <c r="B643" s="171"/>
      <c r="C643" s="171"/>
      <c r="D643" s="171"/>
      <c r="E643" s="171"/>
    </row>
    <row r="644" spans="1:5" ht="15">
      <c r="A644" s="171"/>
      <c r="B644" s="171"/>
      <c r="C644" s="171"/>
      <c r="D644" s="171"/>
      <c r="E644" s="171"/>
    </row>
    <row r="645" spans="1:5" ht="15">
      <c r="A645" s="171"/>
      <c r="B645" s="171"/>
      <c r="C645" s="171"/>
      <c r="D645" s="171"/>
      <c r="E645" s="171"/>
    </row>
    <row r="646" spans="1:5" ht="15">
      <c r="A646" s="171"/>
      <c r="B646" s="171"/>
      <c r="C646" s="171"/>
      <c r="D646" s="171"/>
      <c r="E646" s="171"/>
    </row>
    <row r="647" spans="1:5" ht="15">
      <c r="A647" s="171"/>
      <c r="B647" s="171"/>
      <c r="C647" s="171"/>
      <c r="D647" s="171"/>
      <c r="E647" s="171"/>
    </row>
    <row r="648" spans="1:5" ht="15">
      <c r="A648" s="171"/>
      <c r="B648" s="171"/>
      <c r="C648" s="171"/>
      <c r="D648" s="171"/>
      <c r="E648" s="171"/>
    </row>
    <row r="649" spans="1:5" ht="15">
      <c r="A649" s="171"/>
      <c r="B649" s="171"/>
      <c r="C649" s="171"/>
      <c r="D649" s="171"/>
      <c r="E649" s="171"/>
    </row>
    <row r="650" spans="1:5" ht="15">
      <c r="A650" s="171"/>
      <c r="B650" s="171"/>
      <c r="C650" s="171"/>
      <c r="D650" s="171"/>
      <c r="E650" s="171"/>
    </row>
    <row r="651" spans="1:5" ht="15">
      <c r="A651" s="171"/>
      <c r="B651" s="171"/>
      <c r="C651" s="171"/>
      <c r="D651" s="171"/>
      <c r="E651" s="171"/>
    </row>
    <row r="652" spans="1:5" ht="15">
      <c r="A652" s="171"/>
      <c r="B652" s="171"/>
      <c r="C652" s="171"/>
      <c r="D652" s="171"/>
      <c r="E652" s="171"/>
    </row>
    <row r="653" spans="1:5" ht="15">
      <c r="A653" s="171"/>
      <c r="B653" s="171"/>
      <c r="C653" s="171"/>
      <c r="D653" s="171"/>
      <c r="E653" s="171"/>
    </row>
    <row r="654" spans="1:5" ht="15">
      <c r="A654" s="171"/>
      <c r="B654" s="171"/>
      <c r="C654" s="171"/>
      <c r="D654" s="171"/>
      <c r="E654" s="171"/>
    </row>
    <row r="662" s="171" customFormat="1" ht="121.5" customHeight="1"/>
    <row r="686" s="171" customFormat="1" ht="115.5" customHeight="1"/>
    <row r="687" s="171" customFormat="1" ht="15"/>
    <row r="688" s="171" customFormat="1" ht="15"/>
    <row r="689" s="171" customFormat="1" ht="15"/>
    <row r="690" s="171" customFormat="1" ht="15"/>
    <row r="691" s="171" customFormat="1" ht="15"/>
    <row r="692" s="171" customFormat="1" ht="15"/>
    <row r="693" s="171" customFormat="1" ht="15"/>
    <row r="694" s="171" customFormat="1" ht="15"/>
    <row r="695" s="171" customFormat="1" ht="15"/>
    <row r="696" s="171" customFormat="1" ht="15"/>
    <row r="697" s="171" customFormat="1" ht="15"/>
    <row r="698" s="171" customFormat="1" ht="15"/>
    <row r="699" s="171" customFormat="1" ht="15"/>
    <row r="700" s="171" customFormat="1" ht="15"/>
    <row r="701" s="171" customFormat="1" ht="15"/>
    <row r="702" s="171" customFormat="1" ht="15"/>
    <row r="703" s="171" customFormat="1" ht="15"/>
    <row r="704" s="171" customFormat="1" ht="15"/>
    <row r="705" s="171" customFormat="1" ht="15"/>
    <row r="713" spans="1:6" s="172" customFormat="1" ht="116.25" customHeight="1">
      <c r="A713" s="173"/>
      <c r="B713" s="173"/>
      <c r="C713" s="173"/>
      <c r="D713" s="173"/>
      <c r="E713" s="173"/>
      <c r="F713" s="173"/>
    </row>
    <row r="714" spans="1:6" s="172" customFormat="1" ht="15">
      <c r="A714" s="173"/>
      <c r="B714" s="173"/>
      <c r="C714" s="173"/>
      <c r="D714" s="173"/>
      <c r="E714" s="173"/>
      <c r="F714" s="173"/>
    </row>
    <row r="715" spans="1:6" s="172" customFormat="1" ht="15">
      <c r="A715" s="173"/>
      <c r="B715" s="173"/>
      <c r="C715" s="173"/>
      <c r="D715" s="173"/>
      <c r="E715" s="173"/>
      <c r="F715" s="173"/>
    </row>
    <row r="716" spans="1:6" s="172" customFormat="1" ht="15">
      <c r="A716" s="173"/>
      <c r="B716" s="173"/>
      <c r="C716" s="173"/>
      <c r="D716" s="173"/>
      <c r="E716" s="173"/>
      <c r="F716" s="173"/>
    </row>
    <row r="717" spans="1:6" s="172" customFormat="1" ht="15">
      <c r="A717" s="173"/>
      <c r="B717" s="173"/>
      <c r="C717" s="173"/>
      <c r="D717" s="173"/>
      <c r="E717" s="173"/>
      <c r="F717" s="173"/>
    </row>
    <row r="718" spans="1:6" s="172" customFormat="1" ht="15">
      <c r="A718" s="173"/>
      <c r="B718" s="173"/>
      <c r="C718" s="173"/>
      <c r="D718" s="173"/>
      <c r="E718" s="173"/>
      <c r="F718" s="173"/>
    </row>
    <row r="719" spans="1:6" s="172" customFormat="1" ht="15">
      <c r="A719" s="173"/>
      <c r="B719" s="173"/>
      <c r="C719" s="173"/>
      <c r="D719" s="173"/>
      <c r="E719" s="173"/>
      <c r="F719" s="173"/>
    </row>
    <row r="720" spans="1:6" s="172" customFormat="1" ht="15">
      <c r="A720" s="173"/>
      <c r="B720" s="173"/>
      <c r="C720" s="173"/>
      <c r="D720" s="173"/>
      <c r="E720" s="173"/>
      <c r="F720" s="173"/>
    </row>
    <row r="721" spans="1:6" s="172" customFormat="1" ht="15">
      <c r="A721" s="173"/>
      <c r="B721" s="173"/>
      <c r="C721" s="173"/>
      <c r="D721" s="173"/>
      <c r="E721" s="173"/>
      <c r="F721" s="173"/>
    </row>
    <row r="722" spans="1:6" s="172" customFormat="1" ht="15">
      <c r="A722" s="173"/>
      <c r="B722" s="173"/>
      <c r="C722" s="173"/>
      <c r="D722" s="173"/>
      <c r="E722" s="173"/>
      <c r="F722" s="173"/>
    </row>
    <row r="723" spans="1:6" s="172" customFormat="1" ht="15">
      <c r="A723" s="173"/>
      <c r="B723" s="173"/>
      <c r="C723" s="173"/>
      <c r="D723" s="173"/>
      <c r="E723" s="173"/>
      <c r="F723" s="173"/>
    </row>
    <row r="724" spans="1:6" s="172" customFormat="1" ht="15">
      <c r="A724" s="173"/>
      <c r="B724" s="173"/>
      <c r="C724" s="173"/>
      <c r="D724" s="173"/>
      <c r="E724" s="173"/>
      <c r="F724" s="173"/>
    </row>
    <row r="725" spans="1:6" s="172" customFormat="1" ht="15">
      <c r="A725" s="173"/>
      <c r="B725" s="173"/>
      <c r="C725" s="173"/>
      <c r="D725" s="173"/>
      <c r="E725" s="173"/>
      <c r="F725" s="173"/>
    </row>
    <row r="726" spans="1:6" ht="15">
      <c r="A726" s="173"/>
      <c r="B726" s="173"/>
      <c r="C726" s="173"/>
      <c r="D726" s="173"/>
      <c r="E726" s="173"/>
      <c r="F726" s="173"/>
    </row>
    <row r="727" spans="1:6" ht="15">
      <c r="A727" s="173"/>
      <c r="B727" s="173"/>
      <c r="C727" s="173"/>
      <c r="D727" s="173"/>
      <c r="E727" s="173"/>
      <c r="F727" s="173"/>
    </row>
    <row r="729" ht="47.25" customHeight="1"/>
    <row r="731" ht="17.25" customHeight="1"/>
    <row r="740" ht="36.75" customHeight="1"/>
    <row r="742" ht="17.25" customHeight="1"/>
    <row r="751" ht="51" customHeight="1"/>
    <row r="765" ht="77.25" customHeight="1"/>
    <row r="782" ht="48.75" customHeight="1"/>
    <row r="794" ht="52.5" customHeight="1"/>
    <row r="797" ht="30" customHeight="1"/>
    <row r="808" ht="29.25" customHeight="1"/>
    <row r="816" ht="33.75" customHeight="1"/>
    <row r="819" ht="13.5" customHeight="1"/>
    <row r="820" ht="13.5" customHeight="1"/>
    <row r="821" ht="13.5" customHeight="1"/>
    <row r="829" ht="38.25" customHeight="1"/>
    <row r="833" ht="28.5" customHeight="1"/>
    <row r="839" s="171" customFormat="1" ht="15"/>
    <row r="840" s="171" customFormat="1" ht="15"/>
    <row r="841" s="171" customFormat="1" ht="54.75" customHeight="1"/>
    <row r="842" s="171" customFormat="1" ht="15"/>
    <row r="843" s="171" customFormat="1" ht="15"/>
    <row r="844" s="171" customFormat="1" ht="15"/>
    <row r="846" ht="30" customHeight="1"/>
    <row r="854" ht="48.75" customHeight="1"/>
    <row r="859" ht="33" customHeight="1"/>
    <row r="867" ht="92.25" customHeight="1"/>
    <row r="871" ht="48.75" customHeight="1"/>
    <row r="880" ht="100.5" customHeight="1"/>
    <row r="893" ht="33.75" customHeight="1"/>
    <row r="907" ht="18.75" customHeight="1"/>
    <row r="918" ht="34.5" customHeight="1"/>
    <row r="929" ht="36" customHeight="1"/>
    <row r="941" ht="25.5" customHeight="1"/>
    <row r="953" ht="93" customHeight="1"/>
    <row r="974" ht="51" customHeight="1"/>
    <row r="979" ht="33" customHeight="1"/>
    <row r="980" ht="33.75" customHeight="1"/>
    <row r="981" ht="17.25" customHeight="1"/>
    <row r="982" ht="18" customHeight="1"/>
    <row r="990" ht="40.5" customHeight="1"/>
    <row r="995" ht="39.75" customHeight="1"/>
    <row r="996" ht="45.75" customHeight="1"/>
    <row r="999" ht="33.75" customHeight="1"/>
    <row r="1008" ht="30" customHeight="1"/>
    <row r="1012" ht="59.25" customHeight="1"/>
    <row r="1018" ht="17.25" customHeight="1"/>
    <row r="1019" ht="45.75" customHeight="1"/>
    <row r="1034" ht="31.5" customHeight="1"/>
    <row r="1038" ht="60" customHeight="1"/>
    <row r="1045" ht="56.25" customHeight="1"/>
    <row r="1055" ht="15">
      <c r="A1055" s="176"/>
    </row>
    <row r="1057" ht="48.75" customHeight="1"/>
    <row r="1069" ht="44.25" customHeight="1"/>
    <row r="1074" ht="29.25" customHeight="1"/>
    <row r="1083" ht="60.75" customHeight="1"/>
    <row r="1087" ht="33" customHeight="1"/>
    <row r="1097" ht="61.5" customHeight="1"/>
    <row r="1111" ht="77.25" customHeight="1"/>
    <row r="1124" ht="75.75" customHeight="1"/>
    <row r="1125" ht="15.75" customHeight="1"/>
    <row r="1127" ht="30" customHeight="1"/>
    <row r="1128" ht="18.75" customHeight="1"/>
    <row r="1129" ht="31.5" customHeight="1"/>
    <row r="1138" ht="77.25" customHeight="1"/>
    <row r="1139" ht="15.75" customHeight="1"/>
    <row r="1141" ht="30" customHeight="1"/>
    <row r="1143" ht="35.25" customHeight="1"/>
    <row r="1152" ht="73.5" customHeight="1"/>
    <row r="1156" ht="33" customHeight="1"/>
    <row r="1164" ht="72.75" customHeight="1"/>
    <row r="1168" ht="18.75" customHeight="1"/>
    <row r="1176" ht="74.25" customHeight="1"/>
    <row r="1179" ht="32.25" customHeight="1"/>
    <row r="1181" ht="33.75" customHeight="1"/>
    <row r="1189" ht="45.75" customHeight="1"/>
    <row r="1192" ht="32.25" customHeight="1"/>
    <row r="1193" ht="33.75" customHeight="1"/>
    <row r="1201" ht="61.5" customHeight="1"/>
    <row r="1204" ht="30.75" customHeight="1"/>
    <row r="1205" ht="33.75" customHeight="1"/>
    <row r="1213" ht="76.5" customHeight="1"/>
    <row r="1216" ht="30.75" customHeight="1"/>
    <row r="1217" ht="27" customHeight="1"/>
    <row r="1218" ht="18.75" customHeight="1"/>
    <row r="1226" ht="87.75" customHeight="1"/>
    <row r="1229" ht="30" customHeight="1"/>
    <row r="1231" ht="34.5" customHeight="1"/>
    <row r="1239" ht="82.5" customHeight="1"/>
    <row r="1244" ht="31.5" customHeight="1"/>
    <row r="1252" ht="57.75" customHeight="1"/>
    <row r="1257" ht="30" customHeight="1"/>
    <row r="1265" ht="41.25" customHeight="1"/>
    <row r="1269" ht="33.75" customHeight="1"/>
    <row r="1277" ht="51.75" customHeight="1"/>
    <row r="1290" ht="43.5" customHeight="1"/>
    <row r="1294" ht="31.5" customHeight="1"/>
    <row r="1302" ht="27.75" customHeight="1"/>
    <row r="1306" ht="28.5" customHeight="1"/>
    <row r="1314" ht="27.75" customHeight="1"/>
    <row r="1318" ht="33.75" customHeight="1"/>
    <row r="1326" ht="36" customHeight="1"/>
    <row r="1330" ht="51.75" customHeight="1"/>
    <row r="1338" ht="63.75" customHeight="1"/>
    <row r="1341" ht="27.75" customHeight="1"/>
    <row r="1342" ht="30" customHeight="1"/>
    <row r="1343" ht="48.75" customHeight="1"/>
    <row r="1351" ht="51" customHeight="1"/>
    <row r="1364" ht="44.25" customHeight="1"/>
    <row r="1367" ht="33" customHeight="1"/>
    <row r="1368" ht="36.75" customHeight="1"/>
    <row r="1376" ht="57.75" customHeight="1"/>
    <row r="1380" ht="33.75" customHeight="1"/>
    <row r="1388" ht="57" customHeight="1"/>
    <row r="1400" ht="61.5" customHeight="1"/>
    <row r="1403" ht="33" customHeight="1"/>
    <row r="1404" ht="32.25" customHeight="1"/>
    <row r="1412" ht="42" customHeight="1"/>
    <row r="1415" ht="31.5" customHeight="1"/>
    <row r="1416" ht="28.5" customHeight="1"/>
    <row r="1417" ht="31.5" customHeight="1"/>
    <row r="1425" ht="32.25" customHeight="1"/>
    <row r="1428" ht="31.5" customHeight="1"/>
    <row r="1436" s="171" customFormat="1" ht="15"/>
    <row r="1438" ht="45.75" customHeight="1"/>
    <row r="1450" ht="33" customHeight="1"/>
  </sheetData>
  <sheetProtection/>
  <mergeCells count="39">
    <mergeCell ref="A37:G37"/>
    <mergeCell ref="A38:H38"/>
    <mergeCell ref="A39:G39"/>
    <mergeCell ref="A40:G40"/>
    <mergeCell ref="A32:H32"/>
    <mergeCell ref="A33:C33"/>
    <mergeCell ref="A34:C34"/>
    <mergeCell ref="A35:G35"/>
    <mergeCell ref="A36:H36"/>
    <mergeCell ref="A26:C26"/>
    <mergeCell ref="A27:C27"/>
    <mergeCell ref="A28:C28"/>
    <mergeCell ref="A29:G29"/>
    <mergeCell ref="A30:G30"/>
    <mergeCell ref="A31:G31"/>
    <mergeCell ref="A19:G19"/>
    <mergeCell ref="A20:G20"/>
    <mergeCell ref="A23:F23"/>
    <mergeCell ref="G23:H23"/>
    <mergeCell ref="A24:H24"/>
    <mergeCell ref="A25:H25"/>
    <mergeCell ref="A13:C13"/>
    <mergeCell ref="A14:C14"/>
    <mergeCell ref="A15:G15"/>
    <mergeCell ref="A16:H16"/>
    <mergeCell ref="A17:G17"/>
    <mergeCell ref="A18:H18"/>
    <mergeCell ref="A7:C7"/>
    <mergeCell ref="A8:G8"/>
    <mergeCell ref="A10:G10"/>
    <mergeCell ref="A11:H11"/>
    <mergeCell ref="A12:C12"/>
    <mergeCell ref="A9:G9"/>
    <mergeCell ref="A5:C5"/>
    <mergeCell ref="A2:F2"/>
    <mergeCell ref="G2:H2"/>
    <mergeCell ref="A3:H3"/>
    <mergeCell ref="A4:H4"/>
    <mergeCell ref="A6:C6"/>
  </mergeCells>
  <printOptions horizontalCentered="1"/>
  <pageMargins left="0.5" right="0.45" top="0.1968503937007874" bottom="0.1968503937007874" header="0.1968503937007874" footer="0.35433070866141736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62">
      <selection activeCell="B69" sqref="B69"/>
    </sheetView>
  </sheetViews>
  <sheetFormatPr defaultColWidth="9.140625" defaultRowHeight="15"/>
  <cols>
    <col min="2" max="2" width="51.00390625" style="0" customWidth="1"/>
    <col min="6" max="6" width="11.57421875" style="0" bestFit="1" customWidth="1"/>
  </cols>
  <sheetData>
    <row r="1" s="124" customFormat="1" ht="15">
      <c r="B1" s="124" t="s">
        <v>227</v>
      </c>
    </row>
    <row r="2" spans="1:5" ht="18" customHeight="1">
      <c r="A2" s="393" t="s">
        <v>26</v>
      </c>
      <c r="B2" s="394"/>
      <c r="C2" s="394"/>
      <c r="D2" s="394"/>
      <c r="E2" s="395"/>
    </row>
    <row r="3" spans="1:5" ht="19.5" customHeight="1">
      <c r="A3" s="123"/>
      <c r="B3" s="14" t="s">
        <v>30</v>
      </c>
      <c r="C3" s="15"/>
      <c r="D3" s="31"/>
      <c r="E3" s="16"/>
    </row>
    <row r="4" spans="1:6" ht="30">
      <c r="A4" s="121">
        <v>72126</v>
      </c>
      <c r="B4" s="167" t="s">
        <v>31</v>
      </c>
      <c r="C4" s="18" t="s">
        <v>1</v>
      </c>
      <c r="D4" s="33">
        <v>68.8</v>
      </c>
      <c r="E4" s="19">
        <v>4.07</v>
      </c>
      <c r="F4">
        <f>D4*E4</f>
        <v>280.016</v>
      </c>
    </row>
    <row r="5" spans="1:6" ht="18.75" customHeight="1">
      <c r="A5" s="121" t="s">
        <v>141</v>
      </c>
      <c r="B5" s="167" t="s">
        <v>187</v>
      </c>
      <c r="C5" s="18" t="s">
        <v>1</v>
      </c>
      <c r="D5" s="33">
        <v>78.4</v>
      </c>
      <c r="E5" s="19">
        <v>2.99</v>
      </c>
      <c r="F5" s="124">
        <f aca="true" t="shared" si="0" ref="F5:F11">D5*E5</f>
        <v>234.41600000000003</v>
      </c>
    </row>
    <row r="6" spans="1:6" ht="30">
      <c r="A6" s="118" t="s">
        <v>113</v>
      </c>
      <c r="B6" s="167" t="s">
        <v>33</v>
      </c>
      <c r="C6" s="18" t="s">
        <v>1</v>
      </c>
      <c r="D6" s="33">
        <v>45.44</v>
      </c>
      <c r="E6" s="20">
        <v>8.67</v>
      </c>
      <c r="F6" s="124">
        <f t="shared" si="0"/>
        <v>393.96479999999997</v>
      </c>
    </row>
    <row r="7" spans="1:6" ht="30">
      <c r="A7" s="119" t="s">
        <v>45</v>
      </c>
      <c r="B7" s="167" t="s">
        <v>140</v>
      </c>
      <c r="C7" s="18" t="s">
        <v>1</v>
      </c>
      <c r="D7" s="33">
        <v>1245.86</v>
      </c>
      <c r="E7" s="115">
        <v>11.26</v>
      </c>
      <c r="F7" s="124">
        <f t="shared" si="0"/>
        <v>14028.3836</v>
      </c>
    </row>
    <row r="8" spans="1:6" ht="30">
      <c r="A8" s="119" t="s">
        <v>45</v>
      </c>
      <c r="B8" s="167" t="s">
        <v>188</v>
      </c>
      <c r="C8" s="18" t="s">
        <v>1</v>
      </c>
      <c r="D8" s="33">
        <v>991.33</v>
      </c>
      <c r="E8" s="20">
        <v>11.26</v>
      </c>
      <c r="F8" s="124">
        <f t="shared" si="0"/>
        <v>11162.3758</v>
      </c>
    </row>
    <row r="9" spans="1:6" ht="18.75" customHeight="1">
      <c r="A9" s="121" t="s">
        <v>35</v>
      </c>
      <c r="B9" s="167" t="s">
        <v>121</v>
      </c>
      <c r="C9" s="18" t="s">
        <v>1</v>
      </c>
      <c r="D9" s="33">
        <v>140.2</v>
      </c>
      <c r="E9" s="19">
        <v>6.15</v>
      </c>
      <c r="F9" s="124">
        <f t="shared" si="0"/>
        <v>862.23</v>
      </c>
    </row>
    <row r="10" spans="1:6" ht="32.25" customHeight="1">
      <c r="A10" s="118" t="s">
        <v>114</v>
      </c>
      <c r="B10" s="167" t="s">
        <v>123</v>
      </c>
      <c r="C10" s="18" t="s">
        <v>1</v>
      </c>
      <c r="D10" s="33">
        <v>72.9</v>
      </c>
      <c r="E10" s="115">
        <v>17.12</v>
      </c>
      <c r="F10" s="124">
        <f t="shared" si="0"/>
        <v>1248.0480000000002</v>
      </c>
    </row>
    <row r="11" spans="1:6" ht="30">
      <c r="A11" s="121" t="s">
        <v>35</v>
      </c>
      <c r="B11" s="167" t="s">
        <v>122</v>
      </c>
      <c r="C11" s="18" t="s">
        <v>1</v>
      </c>
      <c r="D11" s="33">
        <v>64.7</v>
      </c>
      <c r="E11" s="115">
        <v>6.15</v>
      </c>
      <c r="F11" s="124">
        <f t="shared" si="0"/>
        <v>397.90500000000003</v>
      </c>
    </row>
    <row r="12" ht="8.25" customHeight="1"/>
    <row r="13" spans="1:5" ht="18" customHeight="1">
      <c r="A13" s="393" t="s">
        <v>94</v>
      </c>
      <c r="B13" s="394"/>
      <c r="C13" s="394"/>
      <c r="D13" s="394"/>
      <c r="E13" s="395"/>
    </row>
    <row r="14" spans="1:5" ht="18" customHeight="1">
      <c r="A14" s="120"/>
      <c r="B14" s="204" t="s">
        <v>30</v>
      </c>
      <c r="C14" s="23"/>
      <c r="D14" s="34"/>
      <c r="E14" s="24"/>
    </row>
    <row r="15" spans="1:6" ht="15">
      <c r="A15" s="121">
        <v>72126</v>
      </c>
      <c r="B15" s="147" t="s">
        <v>44</v>
      </c>
      <c r="C15" s="25" t="s">
        <v>1</v>
      </c>
      <c r="D15" s="35">
        <v>4230.5</v>
      </c>
      <c r="E15" s="26">
        <v>4.07</v>
      </c>
      <c r="F15" s="124">
        <f aca="true" t="shared" si="1" ref="F15:F22">D15*E15</f>
        <v>17218.135000000002</v>
      </c>
    </row>
    <row r="16" spans="1:6" ht="15">
      <c r="A16" s="155" t="s">
        <v>141</v>
      </c>
      <c r="B16" s="151" t="s">
        <v>142</v>
      </c>
      <c r="C16" s="152" t="s">
        <v>1</v>
      </c>
      <c r="D16" s="153">
        <v>151.2</v>
      </c>
      <c r="E16" s="154">
        <v>2.99</v>
      </c>
      <c r="F16" s="124">
        <f t="shared" si="1"/>
        <v>452.088</v>
      </c>
    </row>
    <row r="17" spans="1:6" ht="30">
      <c r="A17" s="118" t="s">
        <v>32</v>
      </c>
      <c r="B17" s="21" t="s">
        <v>33</v>
      </c>
      <c r="C17" s="25" t="s">
        <v>1</v>
      </c>
      <c r="D17" s="35">
        <v>428.16</v>
      </c>
      <c r="E17" s="26">
        <v>6.8</v>
      </c>
      <c r="F17" s="124">
        <f t="shared" si="1"/>
        <v>2911.4880000000003</v>
      </c>
    </row>
    <row r="18" spans="1:6" ht="30">
      <c r="A18" s="119" t="s">
        <v>45</v>
      </c>
      <c r="B18" s="147" t="s">
        <v>126</v>
      </c>
      <c r="C18" s="25" t="s">
        <v>1</v>
      </c>
      <c r="D18" s="35">
        <v>1370.66</v>
      </c>
      <c r="E18" s="26">
        <v>11.26</v>
      </c>
      <c r="F18" s="124">
        <f t="shared" si="1"/>
        <v>15433.6316</v>
      </c>
    </row>
    <row r="19" spans="1:6" ht="30">
      <c r="A19" s="119" t="s">
        <v>45</v>
      </c>
      <c r="B19" s="147" t="s">
        <v>125</v>
      </c>
      <c r="C19" s="25" t="s">
        <v>1</v>
      </c>
      <c r="D19" s="35">
        <v>4024.6</v>
      </c>
      <c r="E19" s="26">
        <v>11.26</v>
      </c>
      <c r="F19" s="124">
        <f t="shared" si="1"/>
        <v>45316.996</v>
      </c>
    </row>
    <row r="20" spans="1:6" ht="30">
      <c r="A20" s="119" t="s">
        <v>45</v>
      </c>
      <c r="B20" s="147" t="s">
        <v>124</v>
      </c>
      <c r="C20" s="25" t="s">
        <v>1</v>
      </c>
      <c r="D20" s="35">
        <v>259.15</v>
      </c>
      <c r="E20" s="26">
        <v>11.26</v>
      </c>
      <c r="F20" s="124">
        <f t="shared" si="1"/>
        <v>2918.0289999999995</v>
      </c>
    </row>
    <row r="21" spans="1:6" ht="30">
      <c r="A21" s="119" t="s">
        <v>45</v>
      </c>
      <c r="B21" s="147" t="s">
        <v>127</v>
      </c>
      <c r="C21" s="25" t="s">
        <v>1</v>
      </c>
      <c r="D21" s="35">
        <v>155.04</v>
      </c>
      <c r="E21" s="26">
        <v>11.26</v>
      </c>
      <c r="F21" s="124">
        <f t="shared" si="1"/>
        <v>1745.7504</v>
      </c>
    </row>
    <row r="22" spans="1:6" ht="15">
      <c r="A22" s="121" t="s">
        <v>35</v>
      </c>
      <c r="B22" s="148" t="s">
        <v>128</v>
      </c>
      <c r="C22" s="25" t="s">
        <v>1</v>
      </c>
      <c r="D22" s="35">
        <v>76.5</v>
      </c>
      <c r="E22" s="26">
        <v>6.15</v>
      </c>
      <c r="F22" s="124">
        <f t="shared" si="1"/>
        <v>470.475</v>
      </c>
    </row>
    <row r="23" ht="72">
      <c r="B23" s="184" t="s">
        <v>112</v>
      </c>
    </row>
    <row r="24" spans="1:5" ht="15">
      <c r="A24" s="182"/>
      <c r="B24" s="184" t="s">
        <v>30</v>
      </c>
      <c r="C24" s="183"/>
      <c r="D24" s="185"/>
      <c r="E24" s="181"/>
    </row>
    <row r="25" spans="1:6" ht="30">
      <c r="A25" s="156" t="s">
        <v>113</v>
      </c>
      <c r="B25" s="161" t="s">
        <v>108</v>
      </c>
      <c r="C25" s="157" t="s">
        <v>1</v>
      </c>
      <c r="D25" s="162">
        <f>495.08+1.6</f>
        <v>496.68</v>
      </c>
      <c r="E25" s="158">
        <v>8.67</v>
      </c>
      <c r="F25" s="124">
        <f>D25*E25</f>
        <v>4306.2156</v>
      </c>
    </row>
    <row r="26" spans="1:6" ht="45">
      <c r="A26" s="163" t="s">
        <v>34</v>
      </c>
      <c r="B26" s="161" t="s">
        <v>109</v>
      </c>
      <c r="C26" s="157" t="s">
        <v>1</v>
      </c>
      <c r="D26" s="162">
        <f>290.15+1.6</f>
        <v>291.75</v>
      </c>
      <c r="E26" s="158">
        <f>2.99+11.26</f>
        <v>14.25</v>
      </c>
      <c r="F26" s="124">
        <f>D26*E26</f>
        <v>4157.4375</v>
      </c>
    </row>
    <row r="27" spans="1:6" ht="50.25" customHeight="1">
      <c r="A27" s="119" t="s">
        <v>34</v>
      </c>
      <c r="B27" s="27" t="s">
        <v>110</v>
      </c>
      <c r="C27" s="22" t="s">
        <v>1</v>
      </c>
      <c r="D27" s="116">
        <v>222.18</v>
      </c>
      <c r="E27" s="158">
        <f>2.99+11.26</f>
        <v>14.25</v>
      </c>
      <c r="F27" s="124">
        <f>D27*E27</f>
        <v>3166.065</v>
      </c>
    </row>
    <row r="28" spans="1:6" ht="45">
      <c r="A28" s="118" t="s">
        <v>36</v>
      </c>
      <c r="B28" s="27" t="s">
        <v>111</v>
      </c>
      <c r="C28" s="22" t="s">
        <v>1</v>
      </c>
      <c r="D28" s="116">
        <v>38.43</v>
      </c>
      <c r="E28" s="20">
        <v>11.75</v>
      </c>
      <c r="F28" s="124">
        <f>D28*E28</f>
        <v>451.5525</v>
      </c>
    </row>
    <row r="29" ht="22.5" customHeight="1">
      <c r="B29" s="202" t="s">
        <v>119</v>
      </c>
    </row>
    <row r="30" spans="1:5" ht="21.75" customHeight="1">
      <c r="A30" s="123"/>
      <c r="B30" s="203" t="s">
        <v>30</v>
      </c>
      <c r="C30" s="15"/>
      <c r="D30" s="31"/>
      <c r="E30" s="16"/>
    </row>
    <row r="31" spans="1:6" ht="16.5" customHeight="1">
      <c r="A31" s="121">
        <v>72126</v>
      </c>
      <c r="B31" s="147" t="s">
        <v>44</v>
      </c>
      <c r="C31" s="25" t="s">
        <v>1</v>
      </c>
      <c r="D31" s="32">
        <v>1086.24</v>
      </c>
      <c r="E31" s="17">
        <v>4.07</v>
      </c>
      <c r="F31" s="124">
        <f aca="true" t="shared" si="2" ref="F31:F50">D31*E31</f>
        <v>4420.9968</v>
      </c>
    </row>
    <row r="32" spans="1:6" ht="20.25" customHeight="1">
      <c r="A32" s="155" t="s">
        <v>141</v>
      </c>
      <c r="B32" s="151" t="s">
        <v>142</v>
      </c>
      <c r="C32" s="152" t="s">
        <v>1</v>
      </c>
      <c r="D32" s="153">
        <v>33.76</v>
      </c>
      <c r="E32" s="154">
        <v>2.99</v>
      </c>
      <c r="F32" s="124">
        <f t="shared" si="2"/>
        <v>100.9424</v>
      </c>
    </row>
    <row r="33" spans="1:6" ht="30">
      <c r="A33" s="118" t="s">
        <v>32</v>
      </c>
      <c r="B33" s="21" t="s">
        <v>33</v>
      </c>
      <c r="C33" s="25" t="s">
        <v>1</v>
      </c>
      <c r="D33" s="32">
        <v>33.76</v>
      </c>
      <c r="E33" s="17">
        <v>6.8</v>
      </c>
      <c r="F33" s="124">
        <f t="shared" si="2"/>
        <v>229.56799999999998</v>
      </c>
    </row>
    <row r="34" spans="1:6" ht="39">
      <c r="A34" s="134" t="s">
        <v>34</v>
      </c>
      <c r="B34" s="147" t="s">
        <v>129</v>
      </c>
      <c r="C34" s="25" t="s">
        <v>1</v>
      </c>
      <c r="D34" s="32">
        <v>168</v>
      </c>
      <c r="E34" s="17">
        <f>2.99+11.26</f>
        <v>14.25</v>
      </c>
      <c r="F34" s="124">
        <f t="shared" si="2"/>
        <v>2394</v>
      </c>
    </row>
    <row r="35" spans="1:6" ht="30">
      <c r="A35" s="119" t="s">
        <v>45</v>
      </c>
      <c r="B35" s="147" t="s">
        <v>125</v>
      </c>
      <c r="C35" s="25" t="s">
        <v>1</v>
      </c>
      <c r="D35" s="32">
        <v>1086.24</v>
      </c>
      <c r="E35" s="19">
        <v>11.26</v>
      </c>
      <c r="F35" s="124">
        <f t="shared" si="2"/>
        <v>12231.0624</v>
      </c>
    </row>
    <row r="36" spans="1:6" ht="30">
      <c r="A36" s="119" t="s">
        <v>45</v>
      </c>
      <c r="B36" s="147" t="s">
        <v>124</v>
      </c>
      <c r="C36" s="25" t="s">
        <v>1</v>
      </c>
      <c r="D36" s="33">
        <v>92.5</v>
      </c>
      <c r="E36" s="19">
        <v>11.26</v>
      </c>
      <c r="F36" s="124">
        <f t="shared" si="2"/>
        <v>1041.55</v>
      </c>
    </row>
    <row r="37" spans="1:6" ht="30">
      <c r="A37" s="119" t="s">
        <v>45</v>
      </c>
      <c r="B37" s="147" t="s">
        <v>127</v>
      </c>
      <c r="C37" s="25" t="s">
        <v>1</v>
      </c>
      <c r="D37" s="33">
        <v>44.8</v>
      </c>
      <c r="E37" s="19">
        <v>11.26</v>
      </c>
      <c r="F37" s="124">
        <f t="shared" si="2"/>
        <v>504.448</v>
      </c>
    </row>
    <row r="38" spans="1:5" ht="21" customHeight="1">
      <c r="A38" s="123"/>
      <c r="B38" s="203" t="s">
        <v>30</v>
      </c>
      <c r="C38" s="15"/>
      <c r="D38" s="31"/>
      <c r="E38" s="16"/>
    </row>
    <row r="39" spans="1:6" ht="23.25" customHeight="1">
      <c r="A39" s="121">
        <v>41595</v>
      </c>
      <c r="B39" s="21" t="s">
        <v>130</v>
      </c>
      <c r="C39" s="18" t="s">
        <v>2</v>
      </c>
      <c r="D39" s="33">
        <v>60</v>
      </c>
      <c r="E39" s="19">
        <v>4.21</v>
      </c>
      <c r="F39" s="124">
        <f t="shared" si="2"/>
        <v>252.6</v>
      </c>
    </row>
    <row r="40" spans="1:6" ht="15">
      <c r="A40" s="121" t="s">
        <v>57</v>
      </c>
      <c r="B40" s="21" t="s">
        <v>131</v>
      </c>
      <c r="C40" s="18" t="s">
        <v>1</v>
      </c>
      <c r="D40" s="33">
        <v>791.2</v>
      </c>
      <c r="E40" s="19">
        <v>9.22</v>
      </c>
      <c r="F40" s="124">
        <f t="shared" si="2"/>
        <v>7294.8640000000005</v>
      </c>
    </row>
    <row r="41" spans="1:6" ht="15">
      <c r="A41" s="122">
        <v>72127</v>
      </c>
      <c r="B41" s="21" t="s">
        <v>58</v>
      </c>
      <c r="C41" s="18" t="s">
        <v>1</v>
      </c>
      <c r="D41" s="33">
        <v>39.5</v>
      </c>
      <c r="E41" s="19">
        <v>2.91</v>
      </c>
      <c r="F41" s="124">
        <f t="shared" si="2"/>
        <v>114.94500000000001</v>
      </c>
    </row>
    <row r="42" spans="1:6" ht="15">
      <c r="A42" s="122">
        <v>72127</v>
      </c>
      <c r="B42" s="21" t="s">
        <v>59</v>
      </c>
      <c r="C42" s="18" t="s">
        <v>1</v>
      </c>
      <c r="D42" s="33">
        <v>42</v>
      </c>
      <c r="E42" s="19">
        <v>2.91</v>
      </c>
      <c r="F42" s="124">
        <f t="shared" si="2"/>
        <v>122.22</v>
      </c>
    </row>
    <row r="43" spans="1:6" ht="45">
      <c r="A43" s="122">
        <v>6067</v>
      </c>
      <c r="B43" s="21" t="s">
        <v>132</v>
      </c>
      <c r="C43" s="18" t="s">
        <v>1</v>
      </c>
      <c r="D43" s="33">
        <v>39</v>
      </c>
      <c r="E43" s="19">
        <v>17.12</v>
      </c>
      <c r="F43" s="124">
        <f t="shared" si="2"/>
        <v>667.6800000000001</v>
      </c>
    </row>
    <row r="44" spans="1:6" ht="45">
      <c r="A44" s="122">
        <v>6067</v>
      </c>
      <c r="B44" s="21" t="s">
        <v>133</v>
      </c>
      <c r="C44" s="18" t="s">
        <v>1</v>
      </c>
      <c r="D44" s="33">
        <v>42</v>
      </c>
      <c r="E44" s="19">
        <v>17.12</v>
      </c>
      <c r="F44" s="124">
        <f t="shared" si="2"/>
        <v>719.0400000000001</v>
      </c>
    </row>
    <row r="45" spans="1:6" ht="45">
      <c r="A45" s="122">
        <v>6067</v>
      </c>
      <c r="B45" s="21" t="s">
        <v>134</v>
      </c>
      <c r="C45" s="18" t="s">
        <v>24</v>
      </c>
      <c r="D45" s="33">
        <v>4</v>
      </c>
      <c r="E45" s="19">
        <v>17.12</v>
      </c>
      <c r="F45" s="124">
        <f t="shared" si="2"/>
        <v>68.48</v>
      </c>
    </row>
    <row r="46" spans="1:6" ht="30">
      <c r="A46" s="121" t="s">
        <v>57</v>
      </c>
      <c r="B46" s="21" t="s">
        <v>135</v>
      </c>
      <c r="C46" s="18" t="s">
        <v>1</v>
      </c>
      <c r="D46" s="33">
        <v>55</v>
      </c>
      <c r="E46" s="19">
        <v>9.22</v>
      </c>
      <c r="F46" s="124">
        <f t="shared" si="2"/>
        <v>507.1</v>
      </c>
    </row>
    <row r="47" spans="1:6" ht="30">
      <c r="A47" s="121" t="s">
        <v>57</v>
      </c>
      <c r="B47" s="21" t="s">
        <v>146</v>
      </c>
      <c r="C47" s="18" t="s">
        <v>1</v>
      </c>
      <c r="D47" s="33">
        <v>184.39</v>
      </c>
      <c r="E47" s="19">
        <v>9.22</v>
      </c>
      <c r="F47" s="124">
        <f t="shared" si="2"/>
        <v>1700.0758</v>
      </c>
    </row>
    <row r="48" spans="1:6" ht="30">
      <c r="A48" s="121" t="s">
        <v>57</v>
      </c>
      <c r="B48" s="21" t="s">
        <v>136</v>
      </c>
      <c r="C48" s="18" t="s">
        <v>1</v>
      </c>
      <c r="D48" s="33">
        <v>661.15</v>
      </c>
      <c r="E48" s="19">
        <v>9.22</v>
      </c>
      <c r="F48" s="124">
        <f t="shared" si="2"/>
        <v>6095.803</v>
      </c>
    </row>
    <row r="49" spans="1:6" ht="30">
      <c r="A49" s="119" t="s">
        <v>45</v>
      </c>
      <c r="B49" s="21" t="s">
        <v>137</v>
      </c>
      <c r="C49" s="18" t="s">
        <v>1</v>
      </c>
      <c r="D49" s="33">
        <v>733.36</v>
      </c>
      <c r="E49" s="19">
        <v>11.26</v>
      </c>
      <c r="F49" s="124">
        <f t="shared" si="2"/>
        <v>8257.6336</v>
      </c>
    </row>
    <row r="50" spans="1:6" ht="30">
      <c r="A50" s="119" t="s">
        <v>45</v>
      </c>
      <c r="B50" s="21" t="s">
        <v>138</v>
      </c>
      <c r="C50" s="18" t="s">
        <v>1</v>
      </c>
      <c r="D50" s="33">
        <v>1184.56</v>
      </c>
      <c r="E50" s="19">
        <v>11.26</v>
      </c>
      <c r="F50" s="124">
        <f t="shared" si="2"/>
        <v>13338.1456</v>
      </c>
    </row>
    <row r="51" ht="43.5">
      <c r="B51" s="178" t="s">
        <v>144</v>
      </c>
    </row>
    <row r="52" spans="1:5" ht="15">
      <c r="A52" s="177"/>
      <c r="B52" s="178" t="s">
        <v>30</v>
      </c>
      <c r="C52" s="179"/>
      <c r="D52" s="180"/>
      <c r="E52" s="181"/>
    </row>
    <row r="53" spans="1:6" ht="45">
      <c r="A53" s="119" t="s">
        <v>34</v>
      </c>
      <c r="B53" s="27" t="s">
        <v>101</v>
      </c>
      <c r="C53" s="22" t="s">
        <v>1</v>
      </c>
      <c r="D53" s="116">
        <v>127.63</v>
      </c>
      <c r="E53" s="20">
        <f>2.99+11.26</f>
        <v>14.25</v>
      </c>
      <c r="F53" s="124">
        <f>D53*E53</f>
        <v>1818.7275</v>
      </c>
    </row>
    <row r="54" spans="1:6" ht="45">
      <c r="A54" s="119" t="s">
        <v>34</v>
      </c>
      <c r="B54" s="27" t="s">
        <v>102</v>
      </c>
      <c r="C54" s="22" t="s">
        <v>1</v>
      </c>
      <c r="D54" s="116">
        <v>271.99</v>
      </c>
      <c r="E54" s="20">
        <f>2.99+11.26</f>
        <v>14.25</v>
      </c>
      <c r="F54" s="124">
        <f>D54*E54</f>
        <v>3875.8575</v>
      </c>
    </row>
    <row r="55" spans="1:6" ht="45">
      <c r="A55" s="119" t="s">
        <v>106</v>
      </c>
      <c r="B55" s="27" t="s">
        <v>103</v>
      </c>
      <c r="C55" s="22" t="s">
        <v>1</v>
      </c>
      <c r="D55" s="116">
        <v>102.08</v>
      </c>
      <c r="E55" s="20">
        <f>2.99+11.26</f>
        <v>14.25</v>
      </c>
      <c r="F55" s="124">
        <f>D55*E55</f>
        <v>1454.6399999999999</v>
      </c>
    </row>
    <row r="56" spans="1:6" ht="45">
      <c r="A56" s="118" t="s">
        <v>56</v>
      </c>
      <c r="B56" s="27" t="s">
        <v>104</v>
      </c>
      <c r="C56" s="22" t="s">
        <v>1</v>
      </c>
      <c r="D56" s="116">
        <v>388.43</v>
      </c>
      <c r="E56" s="20">
        <v>8.67</v>
      </c>
      <c r="F56" s="124">
        <f>D56*E56</f>
        <v>3367.6881</v>
      </c>
    </row>
    <row r="57" spans="1:6" ht="30">
      <c r="A57" s="118" t="s">
        <v>115</v>
      </c>
      <c r="B57" s="27" t="s">
        <v>105</v>
      </c>
      <c r="C57" s="22" t="s">
        <v>1</v>
      </c>
      <c r="D57" s="116">
        <v>81.24</v>
      </c>
      <c r="E57" s="20">
        <v>16.26</v>
      </c>
      <c r="F57" s="124">
        <f>D57*E57</f>
        <v>1320.9624000000001</v>
      </c>
    </row>
    <row r="60" spans="1:6" ht="45">
      <c r="A60" s="122">
        <v>6067</v>
      </c>
      <c r="B60" s="21" t="s">
        <v>134</v>
      </c>
      <c r="C60" s="18" t="s">
        <v>24</v>
      </c>
      <c r="D60" s="33">
        <v>4</v>
      </c>
      <c r="E60" s="19">
        <v>17.12</v>
      </c>
      <c r="F60" s="124">
        <f>D60*E60</f>
        <v>68.48</v>
      </c>
    </row>
    <row r="61" spans="1:6" ht="30">
      <c r="A61" s="121" t="s">
        <v>57</v>
      </c>
      <c r="B61" s="21" t="s">
        <v>135</v>
      </c>
      <c r="C61" s="18" t="s">
        <v>1</v>
      </c>
      <c r="D61" s="33">
        <v>55</v>
      </c>
      <c r="E61" s="19">
        <v>9.22</v>
      </c>
      <c r="F61" s="124">
        <f>D61*E61</f>
        <v>507.1</v>
      </c>
    </row>
    <row r="63" ht="15">
      <c r="F63" s="241">
        <f>SUM(F4:F62)</f>
        <v>199629.81290000008</v>
      </c>
    </row>
    <row r="67" spans="1:5" ht="15">
      <c r="A67" s="123"/>
      <c r="B67" s="14" t="s">
        <v>228</v>
      </c>
      <c r="C67" s="15"/>
      <c r="D67" s="31"/>
      <c r="E67" s="16"/>
    </row>
    <row r="68" spans="1:5" ht="30">
      <c r="A68" s="121">
        <v>41595</v>
      </c>
      <c r="B68" s="21" t="s">
        <v>130</v>
      </c>
      <c r="C68" s="18" t="s">
        <v>2</v>
      </c>
      <c r="D68" s="33">
        <v>60</v>
      </c>
      <c r="E68" s="19">
        <v>4.21</v>
      </c>
    </row>
    <row r="69" spans="1:5" ht="15">
      <c r="A69" s="121" t="s">
        <v>57</v>
      </c>
      <c r="B69" s="21" t="s">
        <v>131</v>
      </c>
      <c r="C69" s="18" t="s">
        <v>1</v>
      </c>
      <c r="D69" s="33">
        <v>791.2</v>
      </c>
      <c r="E69" s="19">
        <v>9.22</v>
      </c>
    </row>
    <row r="70" spans="1:5" ht="15">
      <c r="A70" s="122">
        <v>72127</v>
      </c>
      <c r="B70" s="21" t="s">
        <v>58</v>
      </c>
      <c r="C70" s="18" t="s">
        <v>1</v>
      </c>
      <c r="D70" s="33">
        <v>39.5</v>
      </c>
      <c r="E70" s="19">
        <v>2.91</v>
      </c>
    </row>
    <row r="71" spans="1:5" ht="15">
      <c r="A71" s="122">
        <v>72127</v>
      </c>
      <c r="B71" s="21" t="s">
        <v>59</v>
      </c>
      <c r="C71" s="18" t="s">
        <v>1</v>
      </c>
      <c r="D71" s="33">
        <v>42</v>
      </c>
      <c r="E71" s="19">
        <v>2.91</v>
      </c>
    </row>
    <row r="72" spans="1:5" ht="45">
      <c r="A72" s="122">
        <v>6067</v>
      </c>
      <c r="B72" s="21" t="s">
        <v>132</v>
      </c>
      <c r="C72" s="18" t="s">
        <v>1</v>
      </c>
      <c r="D72" s="33">
        <v>39</v>
      </c>
      <c r="E72" s="19">
        <v>17.12</v>
      </c>
    </row>
    <row r="73" spans="1:5" ht="45">
      <c r="A73" s="122">
        <v>6067</v>
      </c>
      <c r="B73" s="21" t="s">
        <v>133</v>
      </c>
      <c r="C73" s="18" t="s">
        <v>1</v>
      </c>
      <c r="D73" s="33">
        <v>42</v>
      </c>
      <c r="E73" s="19">
        <v>17.12</v>
      </c>
    </row>
    <row r="74" spans="1:5" ht="45">
      <c r="A74" s="122">
        <v>6067</v>
      </c>
      <c r="B74" s="21" t="s">
        <v>134</v>
      </c>
      <c r="C74" s="18" t="s">
        <v>24</v>
      </c>
      <c r="D74" s="33">
        <v>4</v>
      </c>
      <c r="E74" s="19">
        <v>17.12</v>
      </c>
    </row>
    <row r="75" spans="1:5" ht="30">
      <c r="A75" s="121" t="s">
        <v>57</v>
      </c>
      <c r="B75" s="21" t="s">
        <v>135</v>
      </c>
      <c r="C75" s="18" t="s">
        <v>1</v>
      </c>
      <c r="D75" s="33">
        <v>55</v>
      </c>
      <c r="E75" s="19">
        <v>9.22</v>
      </c>
    </row>
    <row r="76" spans="1:5" ht="30">
      <c r="A76" s="121" t="s">
        <v>57</v>
      </c>
      <c r="B76" s="21" t="s">
        <v>146</v>
      </c>
      <c r="C76" s="18" t="s">
        <v>1</v>
      </c>
      <c r="D76" s="33">
        <v>184.39</v>
      </c>
      <c r="E76" s="19">
        <v>9.22</v>
      </c>
    </row>
    <row r="77" spans="1:5" ht="30">
      <c r="A77" s="121" t="s">
        <v>57</v>
      </c>
      <c r="B77" s="21" t="s">
        <v>136</v>
      </c>
      <c r="C77" s="18" t="s">
        <v>1</v>
      </c>
      <c r="D77" s="33">
        <v>661.15</v>
      </c>
      <c r="E77" s="19">
        <v>9.22</v>
      </c>
    </row>
    <row r="78" spans="1:5" ht="30">
      <c r="A78" s="119" t="s">
        <v>45</v>
      </c>
      <c r="B78" s="21" t="s">
        <v>137</v>
      </c>
      <c r="C78" s="18" t="s">
        <v>1</v>
      </c>
      <c r="D78" s="33">
        <v>733.36</v>
      </c>
      <c r="E78" s="19">
        <v>11.26</v>
      </c>
    </row>
    <row r="79" spans="1:5" ht="30">
      <c r="A79" s="119" t="s">
        <v>45</v>
      </c>
      <c r="B79" s="21" t="s">
        <v>138</v>
      </c>
      <c r="C79" s="18" t="s">
        <v>1</v>
      </c>
      <c r="D79" s="33">
        <v>1184.56</v>
      </c>
      <c r="E79" s="19">
        <v>11.26</v>
      </c>
    </row>
  </sheetData>
  <sheetProtection/>
  <mergeCells count="2">
    <mergeCell ref="A13:E13"/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F43" sqref="F43"/>
    </sheetView>
  </sheetViews>
  <sheetFormatPr defaultColWidth="9.140625" defaultRowHeight="15"/>
  <cols>
    <col min="1" max="1" width="11.57421875" style="0" bestFit="1" customWidth="1"/>
    <col min="3" max="3" width="61.7109375" style="0" customWidth="1"/>
    <col min="5" max="5" width="11.28125" style="0" customWidth="1"/>
    <col min="6" max="6" width="14.28125" style="0" customWidth="1"/>
    <col min="7" max="7" width="17.00390625" style="0" customWidth="1"/>
  </cols>
  <sheetData>
    <row r="1" ht="15">
      <c r="A1">
        <v>28607.35</v>
      </c>
    </row>
    <row r="2" ht="15">
      <c r="A2">
        <v>13278.02</v>
      </c>
    </row>
    <row r="3" ht="15">
      <c r="A3">
        <v>1634.59</v>
      </c>
    </row>
    <row r="4" ht="15">
      <c r="A4">
        <v>86466.61</v>
      </c>
    </row>
    <row r="5" ht="15">
      <c r="A5">
        <v>1914.63</v>
      </c>
    </row>
    <row r="6" ht="15">
      <c r="A6">
        <v>126.61</v>
      </c>
    </row>
    <row r="7" ht="15">
      <c r="A7">
        <v>12081.27</v>
      </c>
    </row>
    <row r="8" ht="15">
      <c r="A8">
        <v>1697.49</v>
      </c>
    </row>
    <row r="9" ht="15">
      <c r="A9">
        <v>2253.78</v>
      </c>
    </row>
    <row r="10" ht="15">
      <c r="A10">
        <v>813.09</v>
      </c>
    </row>
    <row r="11" ht="15">
      <c r="A11">
        <v>20922.57</v>
      </c>
    </row>
    <row r="12" ht="15">
      <c r="A12">
        <v>683.09</v>
      </c>
    </row>
    <row r="13" ht="15">
      <c r="A13">
        <v>770.39</v>
      </c>
    </row>
    <row r="14" ht="15">
      <c r="A14" s="124">
        <f>58.5*3</f>
        <v>175.5</v>
      </c>
    </row>
    <row r="15" ht="15">
      <c r="A15" s="124">
        <f>4532.35*3</f>
        <v>13597.050000000001</v>
      </c>
    </row>
    <row r="16" ht="15">
      <c r="A16">
        <v>378.9</v>
      </c>
    </row>
    <row r="17" ht="15">
      <c r="A17">
        <v>723.19</v>
      </c>
    </row>
    <row r="18" ht="15">
      <c r="A18">
        <v>58.5</v>
      </c>
    </row>
    <row r="19" ht="15">
      <c r="A19" s="124">
        <f>4254.66*2</f>
        <v>8509.32</v>
      </c>
    </row>
    <row r="20" ht="15">
      <c r="A20" s="124">
        <f>378.9*2</f>
        <v>757.8</v>
      </c>
    </row>
    <row r="21" ht="15">
      <c r="A21">
        <v>102.37</v>
      </c>
    </row>
    <row r="22" ht="15">
      <c r="A22">
        <v>39138.59</v>
      </c>
    </row>
    <row r="23" ht="15">
      <c r="A23">
        <v>11837.88</v>
      </c>
    </row>
    <row r="24" ht="15">
      <c r="A24">
        <v>378.9</v>
      </c>
    </row>
    <row r="25" ht="15">
      <c r="A25">
        <v>4242.51</v>
      </c>
    </row>
    <row r="26" ht="15">
      <c r="A26">
        <v>721.13</v>
      </c>
    </row>
    <row r="27" ht="15">
      <c r="A27">
        <v>58.5</v>
      </c>
    </row>
    <row r="28" ht="15">
      <c r="A28">
        <v>4532.35</v>
      </c>
    </row>
    <row r="29" ht="15">
      <c r="A29">
        <v>374.9</v>
      </c>
    </row>
    <row r="30" ht="15">
      <c r="A30">
        <v>589.4</v>
      </c>
    </row>
    <row r="31" ht="15">
      <c r="A31">
        <v>7312.53</v>
      </c>
    </row>
    <row r="32" ht="15">
      <c r="A32">
        <v>90.52</v>
      </c>
    </row>
    <row r="33" ht="15">
      <c r="A33">
        <v>1894.5</v>
      </c>
    </row>
    <row r="34" ht="15">
      <c r="A34">
        <v>58.5</v>
      </c>
    </row>
    <row r="35" ht="15">
      <c r="A35" s="242">
        <f>SUM(A1:A34)</f>
        <v>266782.32999999996</v>
      </c>
    </row>
    <row r="37" ht="15">
      <c r="A37" s="124" t="s">
        <v>229</v>
      </c>
    </row>
    <row r="41" spans="1:9" s="2" customFormat="1" ht="24.75" customHeight="1">
      <c r="A41" s="249" t="s">
        <v>46</v>
      </c>
      <c r="B41" s="123"/>
      <c r="C41" s="14" t="e">
        <f>'MEMORIAL DE CALCULO'!#REF!</f>
        <v>#REF!</v>
      </c>
      <c r="D41" s="15"/>
      <c r="E41" s="308" t="s">
        <v>172</v>
      </c>
      <c r="F41" s="309"/>
      <c r="G41" s="149">
        <v>0</v>
      </c>
      <c r="H41" s="88"/>
      <c r="I41" s="2">
        <f>9.3*0.5</f>
        <v>4.65</v>
      </c>
    </row>
    <row r="42" spans="1:8" s="2" customFormat="1" ht="25.5" customHeight="1">
      <c r="A42" s="150"/>
      <c r="B42" s="155">
        <f>Orçamento!B15</f>
        <v>72125</v>
      </c>
      <c r="C42" s="186" t="e">
        <f>'MEMORIAL DE CALCULO'!#REF!</f>
        <v>#REF!</v>
      </c>
      <c r="D42" s="152" t="e">
        <f>'MEMORIAL DE CALCULO'!#REF!</f>
        <v>#REF!</v>
      </c>
      <c r="E42" s="223">
        <f>12.81+9.45+13.25*2+13.12+13.12+31.2+20.21+20.21+20.21+20.21+20.21+0.31*45+99.23+55.23*2.83+11.76+4.66*4*14</f>
        <v>749.4509</v>
      </c>
      <c r="F42" s="223">
        <v>6.06</v>
      </c>
      <c r="G42" s="154">
        <f aca="true" t="shared" si="0" ref="G42:G51">ROUND(E42*F42,2)</f>
        <v>4541.67</v>
      </c>
      <c r="H42" s="88"/>
    </row>
    <row r="43" spans="1:8" s="2" customFormat="1" ht="35.25" customHeight="1">
      <c r="A43" s="89"/>
      <c r="B43" s="121" t="str">
        <f>Orçamento!B21</f>
        <v>Composição</v>
      </c>
      <c r="C43" s="194" t="e">
        <f>'MEMORIAL DE CALCULO'!#REF!</f>
        <v>#REF!</v>
      </c>
      <c r="D43" s="152" t="e">
        <f>'MEMORIAL DE CALCULO'!#REF!</f>
        <v>#REF!</v>
      </c>
      <c r="E43" s="223">
        <f>12.81+9.45+13.25*2+13.12+13.12+31.2+20.21+20.21+20.21+20.21+20.21+0.31*45</f>
        <v>221.20000000000002</v>
      </c>
      <c r="F43" s="223">
        <f>Orçamento!F17</f>
        <v>25.57</v>
      </c>
      <c r="G43" s="154">
        <f t="shared" si="0"/>
        <v>5656.08</v>
      </c>
      <c r="H43" s="88"/>
    </row>
    <row r="44" spans="1:8" s="2" customFormat="1" ht="35.25" customHeight="1">
      <c r="A44" s="89"/>
      <c r="B44" s="121">
        <f>Orçamento!B19</f>
        <v>88488</v>
      </c>
      <c r="C44" s="194" t="e">
        <f>'MEMORIAL DE CALCULO'!#REF!</f>
        <v>#REF!</v>
      </c>
      <c r="D44" s="152" t="e">
        <f>'MEMORIAL DE CALCULO'!#REF!</f>
        <v>#REF!</v>
      </c>
      <c r="E44" s="223" t="e">
        <f>'MEMORIAL DE CALCULO'!#REF!</f>
        <v>#REF!</v>
      </c>
      <c r="F44" s="223">
        <f>Orçamento!F19</f>
        <v>9.67</v>
      </c>
      <c r="G44" s="154" t="e">
        <f t="shared" si="0"/>
        <v>#REF!</v>
      </c>
      <c r="H44" s="88"/>
    </row>
    <row r="45" spans="1:8" s="2" customFormat="1" ht="35.25" customHeight="1">
      <c r="A45" s="89"/>
      <c r="B45" s="121">
        <f>Orçamento!B18</f>
        <v>88428</v>
      </c>
      <c r="C45" s="194" t="e">
        <f>'MEMORIAL DE CALCULO'!#REF!</f>
        <v>#REF!</v>
      </c>
      <c r="D45" s="152" t="e">
        <f>'MEMORIAL DE CALCULO'!#REF!</f>
        <v>#REF!</v>
      </c>
      <c r="E45" s="33" t="e">
        <f>'MEMORIAL DE CALCULO'!#REF!</f>
        <v>#REF!</v>
      </c>
      <c r="F45" s="33">
        <f>Orçamento!F18</f>
        <v>25.57</v>
      </c>
      <c r="G45" s="154" t="e">
        <f t="shared" si="0"/>
        <v>#REF!</v>
      </c>
      <c r="H45" s="88"/>
    </row>
    <row r="46" spans="1:8" s="2" customFormat="1" ht="35.25" customHeight="1">
      <c r="A46" s="89"/>
      <c r="B46" s="121">
        <f>Orçamento!B19</f>
        <v>88488</v>
      </c>
      <c r="C46" s="194" t="e">
        <f>'MEMORIAL DE CALCULO'!#REF!</f>
        <v>#REF!</v>
      </c>
      <c r="D46" s="152" t="e">
        <f>'MEMORIAL DE CALCULO'!#REF!</f>
        <v>#REF!</v>
      </c>
      <c r="E46" s="33">
        <f>4.66*4*14</f>
        <v>260.96000000000004</v>
      </c>
      <c r="F46" s="33">
        <f>Orçamento!F19</f>
        <v>9.67</v>
      </c>
      <c r="G46" s="154">
        <f t="shared" si="0"/>
        <v>2523.48</v>
      </c>
      <c r="H46" s="88"/>
    </row>
    <row r="47" spans="1:8" s="2" customFormat="1" ht="33.75" customHeight="1">
      <c r="A47" s="89"/>
      <c r="B47" s="121">
        <f>Orçamento!B20</f>
        <v>88431</v>
      </c>
      <c r="C47" s="194" t="e">
        <f>'MEMORIAL DE CALCULO'!#REF!</f>
        <v>#REF!</v>
      </c>
      <c r="D47" s="152" t="e">
        <f>'MEMORIAL DE CALCULO'!#REF!</f>
        <v>#REF!</v>
      </c>
      <c r="E47" s="32">
        <v>72.9</v>
      </c>
      <c r="F47" s="32">
        <f>Orçamento!F20</f>
        <v>14.06</v>
      </c>
      <c r="G47" s="154">
        <f t="shared" si="0"/>
        <v>1024.97</v>
      </c>
      <c r="H47" s="88"/>
    </row>
    <row r="48" spans="1:8" s="2" customFormat="1" ht="32.25" customHeight="1">
      <c r="A48" s="89"/>
      <c r="B48" s="121">
        <f>Orçamento!B20</f>
        <v>88431</v>
      </c>
      <c r="C48" s="194" t="e">
        <f>'MEMORIAL DE CALCULO'!#REF!</f>
        <v>#REF!</v>
      </c>
      <c r="D48" s="152" t="e">
        <f>'MEMORIAL DE CALCULO'!#REF!</f>
        <v>#REF!</v>
      </c>
      <c r="E48" s="32">
        <f>(1.97*2)*2</f>
        <v>7.88</v>
      </c>
      <c r="F48" s="32">
        <v>8.2</v>
      </c>
      <c r="G48" s="154">
        <f t="shared" si="0"/>
        <v>64.62</v>
      </c>
      <c r="H48" s="88"/>
    </row>
    <row r="49" spans="1:8" s="2" customFormat="1" ht="32.25" customHeight="1">
      <c r="A49" s="89"/>
      <c r="B49" s="121"/>
      <c r="C49" s="194" t="e">
        <f>'MEMORIAL DE CALCULO'!#REF!</f>
        <v>#REF!</v>
      </c>
      <c r="D49" s="152" t="e">
        <f>'MEMORIAL DE CALCULO'!#REF!</f>
        <v>#REF!</v>
      </c>
      <c r="E49" s="32">
        <f>(1.97*2)*2</f>
        <v>7.88</v>
      </c>
      <c r="F49" s="32">
        <v>18.36</v>
      </c>
      <c r="G49" s="154">
        <f t="shared" si="0"/>
        <v>144.68</v>
      </c>
      <c r="H49" s="88"/>
    </row>
    <row r="50" spans="1:8" s="2" customFormat="1" ht="32.25" customHeight="1">
      <c r="A50" s="89"/>
      <c r="B50" s="121" t="str">
        <f>Orçamento!B23</f>
        <v>74245/001</v>
      </c>
      <c r="C50" s="194" t="e">
        <f>'MEMORIAL DE CALCULO'!#REF!</f>
        <v>#REF!</v>
      </c>
      <c r="D50" s="192" t="s">
        <v>1</v>
      </c>
      <c r="E50" s="32">
        <f>(0.86*3.3)*15</f>
        <v>42.56999999999999</v>
      </c>
      <c r="F50" s="32">
        <v>8.2</v>
      </c>
      <c r="G50" s="154">
        <f t="shared" si="0"/>
        <v>349.07</v>
      </c>
      <c r="H50" s="88"/>
    </row>
    <row r="51" spans="1:8" s="2" customFormat="1" ht="35.25" customHeight="1">
      <c r="A51" s="89"/>
      <c r="B51" s="121" t="str">
        <f>Orçamento!B23</f>
        <v>74245/001</v>
      </c>
      <c r="C51" s="194" t="e">
        <f>'MEMORIAL DE CALCULO'!#REF!</f>
        <v>#REF!</v>
      </c>
      <c r="D51" s="192" t="s">
        <v>1</v>
      </c>
      <c r="E51" s="32">
        <f>(0.86*3.3)*15</f>
        <v>42.56999999999999</v>
      </c>
      <c r="F51" s="237">
        <f>F47</f>
        <v>14.06</v>
      </c>
      <c r="G51" s="32">
        <f t="shared" si="0"/>
        <v>598.53</v>
      </c>
      <c r="H51" s="88"/>
    </row>
  </sheetData>
  <sheetProtection/>
  <mergeCells count="1">
    <mergeCell ref="E41:F4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7">
      <selection activeCell="I40" sqref="I40"/>
    </sheetView>
  </sheetViews>
  <sheetFormatPr defaultColWidth="9.140625" defaultRowHeight="15"/>
  <cols>
    <col min="1" max="1" width="7.00390625" style="0" customWidth="1"/>
    <col min="2" max="2" width="14.8515625" style="0" customWidth="1"/>
    <col min="3" max="3" width="24.421875" style="0" customWidth="1"/>
    <col min="4" max="4" width="8.00390625" style="0" customWidth="1"/>
    <col min="5" max="5" width="6.00390625" style="0" customWidth="1"/>
    <col min="6" max="6" width="33.00390625" style="0" customWidth="1"/>
    <col min="9" max="9" width="28.57421875" style="0" customWidth="1"/>
  </cols>
  <sheetData>
    <row r="1" spans="1:6" s="5" customFormat="1" ht="15.75">
      <c r="A1" s="341" t="s">
        <v>4</v>
      </c>
      <c r="B1" s="342"/>
      <c r="C1" s="342"/>
      <c r="D1" s="67"/>
      <c r="E1" s="68"/>
      <c r="F1" s="164"/>
    </row>
    <row r="2" spans="1:6" s="5" customFormat="1" ht="15.75">
      <c r="A2" s="343" t="s">
        <v>5</v>
      </c>
      <c r="B2" s="344"/>
      <c r="C2" s="344"/>
      <c r="D2" s="3"/>
      <c r="E2" s="4"/>
      <c r="F2" s="165"/>
    </row>
    <row r="3" spans="1:6" s="5" customFormat="1" ht="15.75">
      <c r="A3" s="343" t="s">
        <v>6</v>
      </c>
      <c r="B3" s="344"/>
      <c r="C3" s="344"/>
      <c r="D3" s="3"/>
      <c r="E3" s="4"/>
      <c r="F3" s="165"/>
    </row>
    <row r="4" spans="1:6" s="5" customFormat="1" ht="15.75">
      <c r="A4" s="343" t="s">
        <v>7</v>
      </c>
      <c r="B4" s="344"/>
      <c r="C4" s="344"/>
      <c r="D4" s="3"/>
      <c r="E4" s="4"/>
      <c r="F4" s="165"/>
    </row>
    <row r="5" spans="1:6" s="5" customFormat="1" ht="15.75">
      <c r="A5" s="343" t="s">
        <v>8</v>
      </c>
      <c r="B5" s="344"/>
      <c r="C5" s="344"/>
      <c r="D5" s="3"/>
      <c r="E5" s="4"/>
      <c r="F5" s="165"/>
    </row>
    <row r="6" spans="1:6" s="5" customFormat="1" ht="16.5" thickBot="1">
      <c r="A6" s="69"/>
      <c r="B6" s="70"/>
      <c r="C6" s="70"/>
      <c r="D6" s="71"/>
      <c r="E6" s="72"/>
      <c r="F6" s="166"/>
    </row>
    <row r="7" spans="1:6" s="5" customFormat="1" ht="15.75">
      <c r="A7" s="6"/>
      <c r="B7" s="6"/>
      <c r="C7" s="6"/>
      <c r="D7" s="3"/>
      <c r="E7" s="4"/>
      <c r="F7" s="4"/>
    </row>
    <row r="8" spans="1:6" s="5" customFormat="1" ht="27.75" customHeight="1">
      <c r="A8" s="345" t="s">
        <v>99</v>
      </c>
      <c r="B8" s="346"/>
      <c r="C8" s="346"/>
      <c r="D8" s="346"/>
      <c r="E8" s="346"/>
      <c r="F8" s="347"/>
    </row>
    <row r="9" spans="1:6" s="5" customFormat="1" ht="15">
      <c r="A9" s="36"/>
      <c r="B9" s="36"/>
      <c r="C9" s="36"/>
      <c r="D9" s="36"/>
      <c r="E9" s="36"/>
      <c r="F9" s="36"/>
    </row>
    <row r="10" spans="1:6" s="5" customFormat="1" ht="15">
      <c r="A10" s="36"/>
      <c r="B10" s="36"/>
      <c r="C10" s="36"/>
      <c r="D10" s="36"/>
      <c r="E10" s="36"/>
      <c r="F10" s="36"/>
    </row>
    <row r="11" spans="1:6" s="5" customFormat="1" ht="21" customHeight="1">
      <c r="A11" s="85" t="s">
        <v>87</v>
      </c>
      <c r="B11" s="351" t="s">
        <v>63</v>
      </c>
      <c r="C11" s="351"/>
      <c r="D11" s="351"/>
      <c r="E11" s="351"/>
      <c r="F11" s="85" t="s">
        <v>75</v>
      </c>
    </row>
    <row r="12" spans="1:6" s="64" customFormat="1" ht="15">
      <c r="A12" s="18">
        <v>1</v>
      </c>
      <c r="B12" s="396" t="s">
        <v>74</v>
      </c>
      <c r="C12" s="397"/>
      <c r="D12" s="397"/>
      <c r="E12" s="398"/>
      <c r="F12" s="83">
        <v>0.045</v>
      </c>
    </row>
    <row r="13" spans="1:6" s="64" customFormat="1" ht="15">
      <c r="A13" s="18">
        <v>2</v>
      </c>
      <c r="B13" s="396" t="s">
        <v>91</v>
      </c>
      <c r="C13" s="397"/>
      <c r="D13" s="397"/>
      <c r="E13" s="398"/>
      <c r="F13" s="83">
        <v>0.018</v>
      </c>
    </row>
    <row r="14" spans="1:6" s="64" customFormat="1" ht="15">
      <c r="A14" s="18">
        <v>3</v>
      </c>
      <c r="B14" s="396" t="s">
        <v>84</v>
      </c>
      <c r="C14" s="397"/>
      <c r="D14" s="397"/>
      <c r="E14" s="398"/>
      <c r="F14" s="83">
        <v>0.0135</v>
      </c>
    </row>
    <row r="15" spans="1:6" s="64" customFormat="1" ht="15">
      <c r="A15" s="18">
        <v>4</v>
      </c>
      <c r="B15" s="396" t="s">
        <v>76</v>
      </c>
      <c r="C15" s="397"/>
      <c r="D15" s="397"/>
      <c r="E15" s="398"/>
      <c r="F15" s="83">
        <v>0.0065</v>
      </c>
    </row>
    <row r="16" spans="1:6" s="64" customFormat="1" ht="15">
      <c r="A16" s="18">
        <v>5</v>
      </c>
      <c r="B16" s="396" t="s">
        <v>77</v>
      </c>
      <c r="C16" s="397"/>
      <c r="D16" s="397"/>
      <c r="E16" s="398"/>
      <c r="F16" s="83">
        <v>0</v>
      </c>
    </row>
    <row r="17" spans="1:6" s="64" customFormat="1" ht="15">
      <c r="A17" s="18">
        <v>6</v>
      </c>
      <c r="B17" s="396" t="s">
        <v>78</v>
      </c>
      <c r="C17" s="397"/>
      <c r="D17" s="397"/>
      <c r="E17" s="398"/>
      <c r="F17" s="83">
        <v>0.03</v>
      </c>
    </row>
    <row r="18" spans="1:6" s="64" customFormat="1" ht="15">
      <c r="A18" s="18">
        <v>7</v>
      </c>
      <c r="B18" s="396" t="s">
        <v>92</v>
      </c>
      <c r="C18" s="397"/>
      <c r="D18" s="397"/>
      <c r="E18" s="398"/>
      <c r="F18" s="83">
        <v>0.075</v>
      </c>
    </row>
    <row r="19" spans="1:6" s="64" customFormat="1" ht="15">
      <c r="A19" s="28"/>
      <c r="B19" s="396"/>
      <c r="C19" s="397"/>
      <c r="D19" s="397"/>
      <c r="E19" s="398"/>
      <c r="F19" s="28"/>
    </row>
    <row r="20" spans="1:6" s="64" customFormat="1" ht="15">
      <c r="A20" s="28"/>
      <c r="B20" s="400"/>
      <c r="C20" s="401"/>
      <c r="D20" s="401"/>
      <c r="E20" s="402"/>
      <c r="F20" s="28"/>
    </row>
    <row r="21" spans="1:6" s="64" customFormat="1" ht="15">
      <c r="A21" s="28"/>
      <c r="B21" s="400"/>
      <c r="C21" s="401"/>
      <c r="D21" s="401"/>
      <c r="E21" s="402"/>
      <c r="F21" s="28"/>
    </row>
    <row r="22" spans="1:6" s="64" customFormat="1" ht="15">
      <c r="A22" s="10"/>
      <c r="B22" s="80"/>
      <c r="C22" s="80"/>
      <c r="D22" s="80"/>
      <c r="E22" s="80"/>
      <c r="F22" s="10"/>
    </row>
    <row r="23" spans="1:6" s="64" customFormat="1" ht="15">
      <c r="A23" s="10"/>
      <c r="B23" s="349"/>
      <c r="C23" s="349"/>
      <c r="D23" s="10"/>
      <c r="E23" s="10"/>
      <c r="F23" s="10"/>
    </row>
    <row r="24" spans="1:6" s="64" customFormat="1" ht="20.25" customHeight="1">
      <c r="A24" s="348" t="s">
        <v>86</v>
      </c>
      <c r="B24" s="348"/>
      <c r="C24" s="348"/>
      <c r="D24" s="348"/>
      <c r="E24" s="348"/>
      <c r="F24" s="348"/>
    </row>
    <row r="25" spans="1:6" s="64" customFormat="1" ht="15">
      <c r="A25" s="77"/>
      <c r="B25" s="355"/>
      <c r="C25" s="355"/>
      <c r="D25" s="10"/>
      <c r="E25" s="10"/>
      <c r="F25" s="10"/>
    </row>
    <row r="26" spans="1:6" s="64" customFormat="1" ht="15">
      <c r="A26" s="77"/>
      <c r="B26" s="79" t="s">
        <v>88</v>
      </c>
      <c r="C26" s="79"/>
      <c r="D26" s="79"/>
      <c r="E26" s="79"/>
      <c r="F26" s="79"/>
    </row>
    <row r="27" spans="1:6" s="64" customFormat="1" ht="15">
      <c r="A27" s="77"/>
      <c r="B27" s="355"/>
      <c r="C27" s="355"/>
      <c r="D27" s="10"/>
      <c r="E27" s="10"/>
      <c r="F27" s="10"/>
    </row>
    <row r="28" spans="1:6" s="64" customFormat="1" ht="15">
      <c r="A28" s="77"/>
      <c r="B28" s="87" t="s">
        <v>90</v>
      </c>
      <c r="C28" s="86" t="s">
        <v>95</v>
      </c>
      <c r="D28" s="84"/>
      <c r="E28" s="90">
        <v>-1</v>
      </c>
      <c r="F28" s="81"/>
    </row>
    <row r="29" spans="1:6" s="64" customFormat="1" ht="15">
      <c r="A29" s="77"/>
      <c r="B29" s="36"/>
      <c r="C29" s="82" t="s">
        <v>85</v>
      </c>
      <c r="D29" s="349"/>
      <c r="E29" s="349"/>
      <c r="F29" s="10"/>
    </row>
    <row r="30" spans="1:6" s="64" customFormat="1" ht="15">
      <c r="A30" s="77"/>
      <c r="B30" s="36"/>
      <c r="C30" s="36"/>
      <c r="D30" s="36"/>
      <c r="E30" s="36"/>
      <c r="F30" s="10"/>
    </row>
    <row r="31" spans="1:6" ht="15">
      <c r="A31" s="74"/>
      <c r="B31" s="355" t="s">
        <v>80</v>
      </c>
      <c r="C31" s="355"/>
      <c r="D31" s="36"/>
      <c r="E31" s="36"/>
      <c r="F31" s="36"/>
    </row>
    <row r="32" spans="1:6" ht="15">
      <c r="A32" s="75"/>
      <c r="B32" s="399" t="s">
        <v>89</v>
      </c>
      <c r="C32" s="399"/>
      <c r="D32" s="399"/>
      <c r="E32" s="399"/>
      <c r="F32" s="399"/>
    </row>
    <row r="33" spans="1:6" ht="15">
      <c r="A33" s="75"/>
      <c r="B33" s="399" t="s">
        <v>82</v>
      </c>
      <c r="C33" s="399"/>
      <c r="D33" s="399"/>
      <c r="E33" s="399"/>
      <c r="F33" s="399"/>
    </row>
    <row r="34" spans="1:6" ht="15">
      <c r="A34" s="76"/>
      <c r="B34" s="399" t="s">
        <v>81</v>
      </c>
      <c r="C34" s="399"/>
      <c r="D34" s="399"/>
      <c r="E34" s="399"/>
      <c r="F34" s="399"/>
    </row>
    <row r="35" spans="1:6" ht="15">
      <c r="A35" s="76"/>
      <c r="B35" s="399" t="s">
        <v>83</v>
      </c>
      <c r="C35" s="399"/>
      <c r="D35" s="399"/>
      <c r="E35" s="399"/>
      <c r="F35" s="399"/>
    </row>
    <row r="36" spans="1:6" ht="15">
      <c r="A36" s="76"/>
      <c r="B36" s="399" t="s">
        <v>96</v>
      </c>
      <c r="C36" s="399"/>
      <c r="D36" s="399"/>
      <c r="E36" s="399"/>
      <c r="F36" s="399"/>
    </row>
    <row r="37" spans="1:6" ht="15">
      <c r="A37" s="75"/>
      <c r="B37" s="36"/>
      <c r="C37" s="36"/>
      <c r="D37" s="36"/>
      <c r="E37" s="36"/>
      <c r="F37" s="36"/>
    </row>
    <row r="38" spans="1:6" ht="18.75">
      <c r="A38" s="348" t="s">
        <v>79</v>
      </c>
      <c r="B38" s="348"/>
      <c r="C38" s="348"/>
      <c r="D38" s="348"/>
      <c r="E38" s="348"/>
      <c r="F38" s="348"/>
    </row>
    <row r="39" spans="1:6" ht="15">
      <c r="A39" s="75"/>
      <c r="B39" s="36"/>
      <c r="C39" s="36"/>
      <c r="D39" s="36"/>
      <c r="E39" s="36"/>
      <c r="F39" s="36"/>
    </row>
    <row r="40" spans="1:8" ht="15">
      <c r="A40" s="76"/>
      <c r="B40" s="87" t="s">
        <v>90</v>
      </c>
      <c r="C40" s="86" t="s">
        <v>95</v>
      </c>
      <c r="D40" s="84"/>
      <c r="E40" s="90">
        <v>-1</v>
      </c>
      <c r="F40" s="79"/>
      <c r="H40" s="124"/>
    </row>
    <row r="41" spans="1:8" ht="15">
      <c r="A41" s="76"/>
      <c r="B41" s="36"/>
      <c r="C41" s="82" t="s">
        <v>85</v>
      </c>
      <c r="D41" s="349"/>
      <c r="E41" s="349"/>
      <c r="F41" s="10"/>
      <c r="H41" s="137"/>
    </row>
    <row r="42" spans="1:6" ht="15">
      <c r="A42" s="74"/>
      <c r="B42" s="36"/>
      <c r="C42" s="36"/>
      <c r="D42" s="36"/>
      <c r="E42" s="36"/>
      <c r="F42" s="36"/>
    </row>
    <row r="43" spans="1:6" s="78" customFormat="1" ht="15">
      <c r="A43" s="74"/>
      <c r="B43" s="36"/>
      <c r="C43" s="36"/>
      <c r="D43" s="36"/>
      <c r="E43" s="36"/>
      <c r="F43" s="36"/>
    </row>
    <row r="44" spans="1:6" s="78" customFormat="1" ht="15">
      <c r="A44" s="74"/>
      <c r="B44" s="87" t="s">
        <v>90</v>
      </c>
      <c r="C44" s="403" t="s">
        <v>151</v>
      </c>
      <c r="D44" s="403"/>
      <c r="E44" s="84">
        <v>-1</v>
      </c>
      <c r="F44" s="36"/>
    </row>
    <row r="45" spans="1:6" s="78" customFormat="1" ht="15">
      <c r="A45" s="74"/>
      <c r="B45" s="36"/>
      <c r="C45" s="87" t="s">
        <v>152</v>
      </c>
      <c r="D45" s="36"/>
      <c r="E45" s="36"/>
      <c r="F45" s="36"/>
    </row>
    <row r="46" spans="1:6" ht="15">
      <c r="A46" s="36"/>
      <c r="B46" s="73"/>
      <c r="C46" s="36"/>
      <c r="D46" s="36"/>
      <c r="E46" s="36"/>
      <c r="F46" s="36"/>
    </row>
    <row r="47" spans="1:6" ht="15">
      <c r="A47" s="36"/>
      <c r="B47" s="106" t="s">
        <v>98</v>
      </c>
      <c r="C47" s="105">
        <v>0.2235</v>
      </c>
      <c r="D47" s="36"/>
      <c r="E47" s="36"/>
      <c r="F47" s="36"/>
    </row>
    <row r="48" spans="1:6" ht="15">
      <c r="A48" s="36"/>
      <c r="B48" s="98"/>
      <c r="C48" s="98"/>
      <c r="D48" s="99"/>
      <c r="E48" s="99"/>
      <c r="F48" s="100"/>
    </row>
    <row r="49" spans="1:6" ht="15">
      <c r="A49" s="36"/>
      <c r="B49" s="100"/>
      <c r="C49" s="100"/>
      <c r="D49" s="100"/>
      <c r="E49" s="100"/>
      <c r="F49" s="100"/>
    </row>
    <row r="50" spans="1:6" ht="12" customHeight="1">
      <c r="A50" s="104" t="s">
        <v>97</v>
      </c>
      <c r="B50" s="104"/>
      <c r="C50" s="104"/>
      <c r="D50" s="104"/>
      <c r="E50" s="104"/>
      <c r="F50" s="100"/>
    </row>
    <row r="51" spans="1:6" ht="64.5" customHeight="1">
      <c r="A51" s="350" t="s">
        <v>100</v>
      </c>
      <c r="B51" s="350"/>
      <c r="C51" s="350"/>
      <c r="D51" s="350"/>
      <c r="E51" s="350"/>
      <c r="F51" s="100"/>
    </row>
    <row r="52" spans="1:6" ht="15">
      <c r="A52" s="36"/>
      <c r="B52" s="100"/>
      <c r="C52" s="100"/>
      <c r="D52" s="100"/>
      <c r="E52" s="100"/>
      <c r="F52" s="100"/>
    </row>
    <row r="53" spans="1:6" ht="15">
      <c r="A53" s="36"/>
      <c r="B53" s="100"/>
      <c r="C53" s="100"/>
      <c r="D53" s="100"/>
      <c r="E53" s="100"/>
      <c r="F53" s="100"/>
    </row>
    <row r="54" spans="1:6" ht="15">
      <c r="A54" s="36"/>
      <c r="B54" s="101"/>
      <c r="C54" s="100"/>
      <c r="D54" s="100"/>
      <c r="E54" s="100"/>
      <c r="F54" s="100"/>
    </row>
    <row r="55" spans="1:6" ht="15">
      <c r="A55" s="74"/>
      <c r="B55" s="100"/>
      <c r="C55" s="100"/>
      <c r="D55" s="100"/>
      <c r="E55" s="100"/>
      <c r="F55" s="100"/>
    </row>
    <row r="56" spans="1:6" ht="15">
      <c r="A56" s="74"/>
      <c r="B56" s="100"/>
      <c r="C56" s="100"/>
      <c r="D56" s="100"/>
      <c r="E56" s="100"/>
      <c r="F56" s="100"/>
    </row>
    <row r="57" spans="1:6" ht="15">
      <c r="A57" s="36"/>
      <c r="B57" s="101"/>
      <c r="C57" s="100"/>
      <c r="D57" s="100"/>
      <c r="E57" s="100"/>
      <c r="F57" s="100"/>
    </row>
    <row r="58" spans="1:6" ht="15">
      <c r="A58" s="74"/>
      <c r="B58" s="100"/>
      <c r="C58" s="100"/>
      <c r="D58" s="100"/>
      <c r="E58" s="100"/>
      <c r="F58" s="100"/>
    </row>
    <row r="59" spans="1:7" ht="15">
      <c r="A59" s="36"/>
      <c r="B59" s="102"/>
      <c r="C59" s="100"/>
      <c r="D59" s="100"/>
      <c r="E59" s="100"/>
      <c r="F59" s="100"/>
      <c r="G59" s="65"/>
    </row>
    <row r="60" spans="1:6" ht="15">
      <c r="A60" s="74"/>
      <c r="B60" s="100"/>
      <c r="C60" s="100"/>
      <c r="D60" s="100"/>
      <c r="E60" s="100"/>
      <c r="F60" s="100"/>
    </row>
    <row r="61" spans="1:6" ht="15">
      <c r="A61" s="74"/>
      <c r="B61" s="100"/>
      <c r="C61" s="100"/>
      <c r="D61" s="100"/>
      <c r="E61" s="100"/>
      <c r="F61" s="100"/>
    </row>
    <row r="62" spans="1:6" ht="15">
      <c r="A62" s="36"/>
      <c r="B62" s="102"/>
      <c r="C62" s="100"/>
      <c r="D62" s="100"/>
      <c r="E62" s="102"/>
      <c r="F62" s="100"/>
    </row>
    <row r="63" spans="1:7" ht="15">
      <c r="A63" s="73"/>
      <c r="B63" s="100"/>
      <c r="C63" s="100"/>
      <c r="D63" s="100"/>
      <c r="E63" s="100"/>
      <c r="F63" s="100"/>
      <c r="G63" s="66"/>
    </row>
    <row r="64" spans="1:6" ht="15">
      <c r="A64" s="36"/>
      <c r="B64" s="102"/>
      <c r="C64" s="100"/>
      <c r="D64" s="100"/>
      <c r="E64" s="100"/>
      <c r="F64" s="100"/>
    </row>
    <row r="65" spans="1:6" ht="15">
      <c r="A65" s="74"/>
      <c r="B65" s="100"/>
      <c r="C65" s="100"/>
      <c r="D65" s="100"/>
      <c r="E65" s="100"/>
      <c r="F65" s="100"/>
    </row>
    <row r="66" spans="1:6" ht="15">
      <c r="A66" s="36"/>
      <c r="B66" s="103"/>
      <c r="C66" s="100"/>
      <c r="D66" s="100"/>
      <c r="E66" s="100"/>
      <c r="F66" s="100"/>
    </row>
    <row r="67" spans="1:6" ht="15">
      <c r="A67" s="36"/>
      <c r="B67" s="100"/>
      <c r="C67" s="100"/>
      <c r="D67" s="100"/>
      <c r="E67" s="100"/>
      <c r="F67" s="100"/>
    </row>
    <row r="68" spans="1:6" ht="15">
      <c r="A68" s="36"/>
      <c r="B68" s="100"/>
      <c r="C68" s="100"/>
      <c r="D68" s="100"/>
      <c r="E68" s="100"/>
      <c r="F68" s="100"/>
    </row>
    <row r="69" spans="1:6" ht="15">
      <c r="A69" s="36"/>
      <c r="B69" s="100"/>
      <c r="C69" s="100"/>
      <c r="D69" s="100"/>
      <c r="E69" s="100"/>
      <c r="F69" s="100"/>
    </row>
    <row r="70" spans="1:6" ht="15">
      <c r="A70" s="36"/>
      <c r="B70" s="100"/>
      <c r="C70" s="100"/>
      <c r="D70" s="100"/>
      <c r="E70" s="100"/>
      <c r="F70" s="100"/>
    </row>
    <row r="71" spans="1:6" ht="15">
      <c r="A71" s="36"/>
      <c r="B71" s="100"/>
      <c r="C71" s="100"/>
      <c r="D71" s="100"/>
      <c r="E71" s="100"/>
      <c r="F71" s="100"/>
    </row>
    <row r="72" spans="1:6" ht="15">
      <c r="A72" s="36"/>
      <c r="B72" s="100"/>
      <c r="C72" s="100"/>
      <c r="D72" s="100"/>
      <c r="E72" s="100"/>
      <c r="F72" s="100"/>
    </row>
    <row r="73" spans="1:6" ht="15">
      <c r="A73" s="36"/>
      <c r="B73" s="100"/>
      <c r="C73" s="100"/>
      <c r="D73" s="100"/>
      <c r="E73" s="100"/>
      <c r="F73" s="100"/>
    </row>
  </sheetData>
  <sheetProtection/>
  <mergeCells count="32">
    <mergeCell ref="A51:E51"/>
    <mergeCell ref="C44:D44"/>
    <mergeCell ref="D29:E29"/>
    <mergeCell ref="A38:F38"/>
    <mergeCell ref="B21:E21"/>
    <mergeCell ref="A24:F24"/>
    <mergeCell ref="B32:F32"/>
    <mergeCell ref="B33:F33"/>
    <mergeCell ref="B34:F34"/>
    <mergeCell ref="D41:E41"/>
    <mergeCell ref="B17:E17"/>
    <mergeCell ref="B18:E18"/>
    <mergeCell ref="B19:E19"/>
    <mergeCell ref="B35:F35"/>
    <mergeCell ref="B36:F36"/>
    <mergeCell ref="B23:C23"/>
    <mergeCell ref="B31:C31"/>
    <mergeCell ref="B25:C25"/>
    <mergeCell ref="B27:C27"/>
    <mergeCell ref="B20:E20"/>
    <mergeCell ref="B11:E11"/>
    <mergeCell ref="B12:E12"/>
    <mergeCell ref="B15:E15"/>
    <mergeCell ref="B16:E16"/>
    <mergeCell ref="B13:E13"/>
    <mergeCell ref="B14:E14"/>
    <mergeCell ref="A1:C1"/>
    <mergeCell ref="A2:C2"/>
    <mergeCell ref="A3:C3"/>
    <mergeCell ref="A4:C4"/>
    <mergeCell ref="A5:C5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rr20032</cp:lastModifiedBy>
  <cp:lastPrinted>2016-08-17T20:49:17Z</cp:lastPrinted>
  <dcterms:created xsi:type="dcterms:W3CDTF">2010-06-06T01:11:57Z</dcterms:created>
  <dcterms:modified xsi:type="dcterms:W3CDTF">2016-08-17T21:44:33Z</dcterms:modified>
  <cp:category/>
  <cp:version/>
  <cp:contentType/>
  <cp:contentStatus/>
</cp:coreProperties>
</file>